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n1pT8RKK++Ykw/OBHvz7ORf7KdRQyTebSMQvmTT4JMD5sozTVc1p8Wao4N2JuaOV/OrkUTb4LBRYJhfaXykFA==" workbookSaltValue="gzW72yltd/OEvZw1IGzg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O10" i="11"/>
  <c r="AO21" i="27"/>
  <c r="I21" i="27"/>
  <c r="J9" i="12" l="1"/>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X21" i="21"/>
  <c r="AU21" i="17"/>
  <c r="AV21" i="21"/>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<sst xmlns="http://schemas.openxmlformats.org/spreadsheetml/2006/main" count="2513" uniqueCount="1025">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</sst>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2I4XD68Bcaz+lmQ5etbgxqK6+agCTRzP8EUjzntC4yGAPgE7iGB72JnEdK2PD5f9NliuH+RNB8VF5ns2bjS/Q==" saltValue="WwaoSOuUzEVvSCnenJ+Dg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43.296244784422811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115</v>
      </c>
      <c r="D10" s="224">
        <f>IF(ISNUMBER(Datos!I10),Datos!I10," - ")</f>
        <v>111</v>
      </c>
      <c r="E10" s="225">
        <f>IF(ISNUMBER(Datos!J10),Datos!J10," - ")</f>
        <v>35</v>
      </c>
      <c r="F10" s="225">
        <f>IF(ISNUMBER(Datos!K10),Datos!K10," - ")</f>
        <v>31</v>
      </c>
      <c r="G10" s="1029" t="str">
        <f>IF(Datos!E10&lt;&gt;"",Datos!E10,Datos!D10)</f>
        <v>37</v>
      </c>
      <c r="H10" s="226">
        <f>IF(ISNUMBER(Datos!L10),Datos!L10," - ")</f>
        <v>119</v>
      </c>
      <c r="I10" s="1039" t="str">
        <f>IF(ISNUMBER(Datos!AS10/Datos!BM10),Datos!AS10/Datos!BM10," - ")</f>
        <v xml:space="preserve"> - </v>
      </c>
      <c r="J10" s="1040">
        <f>IF(ISNUMBER(Datos!BY10/Datos!CN10),Datos!BY10/Datos!CN10," - ")</f>
        <v>0</v>
      </c>
      <c r="K10" s="229">
        <f t="shared" ref="K10:K12" si="1">IF(ISNUMBER((E10-F10)/C10),(E10-F10)/C10," - ")</f>
        <v>3.4782608695652174E-2</v>
      </c>
      <c r="L10" s="1020">
        <f>IF(ISNUMBER(NºAsuntos!I10/NºAsuntos!G10),(NºAsuntos!I10/NºAsuntos!G10)*11," - ")</f>
        <v>42.225806451612904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115</v>
      </c>
      <c r="D13" s="1044">
        <f>SUBTOTAL(9,D9:D12)</f>
        <v>111</v>
      </c>
      <c r="E13" s="1045">
        <f>SUBTOTAL(9,E9:E12)</f>
        <v>35</v>
      </c>
      <c r="F13" s="1046">
        <f>SUBTOTAL(9,F9:F12)</f>
        <v>31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1949</v>
      </c>
      <c r="D15" s="224">
        <f>IF(ISNUMBER(IF(D_I="SI",Datos!I15,Datos!I15+Datos!AC15)),IF(D_I="SI",Datos!I15,Datos!I15+Datos!AC15)," - ")</f>
        <v>1589</v>
      </c>
      <c r="E15" s="225">
        <f>IF(ISNUMBER(IF(D_I="SI",Datos!J15,Datos!J15+Datos!AD15)),IF(D_I="SI",Datos!J15,Datos!J15+Datos!AD15)," - ")</f>
        <v>2444</v>
      </c>
      <c r="F15" s="225">
        <f>IF(ISNUMBER(IF(D_I="SI",Datos!K15,Datos!K15+Datos!AE15)),IF(D_I="SI",Datos!K15,Datos!K15+Datos!AE15)," - ")</f>
        <v>2601</v>
      </c>
      <c r="G15" s="1029" t="str">
        <f>IF(Datos!E15&lt;&gt;"",Datos!E15,Datos!D15)</f>
        <v>03</v>
      </c>
      <c r="H15" s="226">
        <f>IF(ISNUMBER(IF(D_I="SI",Datos!L15,Datos!L15+Datos!AF15)),IF(D_I="SI",Datos!L15,Datos!L15+Datos!AF15)," - ")</f>
        <v>1792</v>
      </c>
      <c r="I15" s="1039" t="str">
        <f>IF(ISNUMBER(Datos!AS15/Datos!BM15),Datos!AS15/Datos!BM15," - ")</f>
        <v xml:space="preserve"> - </v>
      </c>
      <c r="J15" s="1040">
        <f>IF(ISNUMBER(Datos!BY15/Datos!CN15),Datos!BY15/Datos!CN15," - ")</f>
        <v>0</v>
      </c>
      <c r="K15" s="229">
        <f t="shared" ref="K15:K18" si="3">IF(ISNUMBER((E15-F15)/C15),(E15-F15)/C15," - ")</f>
        <v>-8.0554130323242684E-2</v>
      </c>
      <c r="L15" s="1020">
        <f>IF(ISNUMBER(NºAsuntos!I15/NºAsuntos!G15),(NºAsuntos!I15/NºAsuntos!G15)*11," - ")</f>
        <v>7.5786236063052677</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1</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1</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294</v>
      </c>
      <c r="D18" s="224">
        <f>IF(ISNUMBER(IF(D_I="SI",Datos!I18,Datos!I18+Datos!AC18)),IF(D_I="SI",Datos!I18,Datos!I18+Datos!AC18)," - ")</f>
        <v>282</v>
      </c>
      <c r="E18" s="225">
        <f>IF(ISNUMBER(IF(D_I="SI",Datos!J18,Datos!J18+Datos!AD18)),IF(D_I="SI",Datos!J18,Datos!J18+Datos!AD18)," - ")</f>
        <v>293</v>
      </c>
      <c r="F18" s="225">
        <f>IF(ISNUMBER(IF(D_I="SI",Datos!K18,Datos!K18+Datos!AE18)),IF(D_I="SI",Datos!K18,Datos!K18+Datos!AE18)," - ")</f>
        <v>272</v>
      </c>
      <c r="G18" s="1029" t="str">
        <f>IF(Datos!E18&lt;&gt;"",Datos!E18,Datos!D18)</f>
        <v>37</v>
      </c>
      <c r="H18" s="226">
        <f>IF(ISNUMBER(IF(D_I="SI",Datos!L18,Datos!L18+Datos!AF18)),IF(D_I="SI",Datos!L18,Datos!L18+Datos!AF18)," - ")</f>
        <v>315</v>
      </c>
      <c r="I18" s="1039" t="str">
        <f>IF(ISNUMBER(Datos!AS18/Datos!BM18),Datos!AS18/Datos!BM18," - ")</f>
        <v xml:space="preserve"> - </v>
      </c>
      <c r="J18" s="1040" t="str">
        <f>IF(ISNUMBER((Datos!BY18+Datos!BZ18)/Datos!CN18),(Datos!BY18+Datos!BZ18)/Datos!CN18," - ")</f>
        <v xml:space="preserve"> - </v>
      </c>
      <c r="K18" s="229">
        <f t="shared" si="3"/>
        <v>7.1428571428571425E-2</v>
      </c>
      <c r="L18" s="1020">
        <f>IF(ISNUMBER(NºAsuntos!I18/NºAsuntos!G18),(NºAsuntos!I18/NºAsuntos!G18)*11," - ")</f>
        <v>12.738970588235295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2244</v>
      </c>
      <c r="D19" s="1044">
        <f>SUBTOTAL(9,D15:D18)</f>
        <v>1874</v>
      </c>
      <c r="E19" s="1045">
        <f>SUBTOTAL(9,E15:E18)</f>
        <v>2737</v>
      </c>
      <c r="F19" s="1045">
        <f>SUBTOTAL(9,F15:F18)</f>
        <v>2873</v>
      </c>
      <c r="G19" s="1047" t="str">
        <f ca="1">INDIRECT(CONCATENATE("G",ROW()-1))</f>
        <v>37</v>
      </c>
      <c r="H19" s="1048">
        <f ca="1">SUMIF(G$14:G18,G19,H$14:H18)</f>
        <v>315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2359</v>
      </c>
      <c r="D20" s="1066">
        <f>SUBTOTAL(9,D9:D19)</f>
        <v>1985</v>
      </c>
      <c r="E20" s="1067">
        <f>SUBTOTAL(9,E9:E19)</f>
        <v>2772</v>
      </c>
      <c r="F20" s="1067">
        <f>SUBTOTAL(9,F9:F19)</f>
        <v>2904</v>
      </c>
      <c r="G20" s="1068"/>
      <c r="H20" s="1069">
        <f ca="1">SUMIF(B9:B19,"TOTAL",H9:H19)</f>
        <v>315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1snVWJGNVOdTYzfIed4aN9U3+A+C9AQe6QOTS7zGv/Zkx3kfCghpiOXCjoPuKsg/IeAagq8aRLvlJZWxCyI5g==" saltValue="Z5v3aEV2/0XNxg2tWMa7l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pCgkZfrUrshd703CircNhpryFXtn34ooJL4wTtKt5wIgTLrMvIkOKhf57PoZDEpQfycGGOZ653R3YtKtQaZg==" saltValue="LRqfUOz//NQV7zbm0+O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10242</v>
      </c>
      <c r="J9" s="180">
        <v>3599</v>
      </c>
      <c r="K9" s="180">
        <v>2602</v>
      </c>
      <c r="L9" s="180">
        <v>11162</v>
      </c>
      <c r="M9" s="180">
        <v>789</v>
      </c>
      <c r="N9" s="180">
        <v>1673</v>
      </c>
      <c r="O9" s="180">
        <v>850</v>
      </c>
      <c r="P9" s="180">
        <v>555</v>
      </c>
      <c r="Q9" s="180">
        <v>512</v>
      </c>
      <c r="R9" s="180">
        <v>10674</v>
      </c>
      <c r="S9" s="180">
        <v>10357</v>
      </c>
      <c r="T9" s="180">
        <v>5190</v>
      </c>
      <c r="U9" s="180">
        <v>3839</v>
      </c>
      <c r="V9" s="180">
        <v>11708</v>
      </c>
      <c r="W9" s="180">
        <v>651</v>
      </c>
      <c r="X9" s="187">
        <v>2540</v>
      </c>
      <c r="Y9" s="190">
        <v>263</v>
      </c>
      <c r="Z9" s="180">
        <v>247</v>
      </c>
      <c r="AA9" s="180">
        <v>274</v>
      </c>
      <c r="AB9" s="180">
        <v>158</v>
      </c>
      <c r="AC9" s="180">
        <v>0</v>
      </c>
      <c r="AD9" s="180">
        <v>0</v>
      </c>
      <c r="AE9" s="180">
        <v>0</v>
      </c>
      <c r="AF9" s="187">
        <v>0</v>
      </c>
      <c r="AG9" s="190">
        <v>186</v>
      </c>
      <c r="AH9" s="180">
        <v>267</v>
      </c>
      <c r="AI9" s="180">
        <v>265</v>
      </c>
      <c r="AJ9" s="191">
        <v>188</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10543</v>
      </c>
      <c r="AZ9" s="123">
        <f>IF(ISNUMBER(IF(J_V="SI",T9,T9+AH9)),IF(J_V="SI",T9,T9+AH9)," - ")</f>
        <v>5457</v>
      </c>
      <c r="BA9" s="124">
        <f>IF(ISNUMBER(IF(J_V="SI",U9,U9+AI9)),IF(J_V="SI",U9,U9+AI9)," - ")</f>
        <v>4104</v>
      </c>
      <c r="BB9" s="124">
        <f>IF(ISNUMBER(IF(J_V="SI",V9,V9+AJ9)),IF(J_V="SI",V9,V9+AJ9)," - ")</f>
        <v>11896</v>
      </c>
      <c r="BC9" s="125">
        <f>IF(ISNUMBER(X9),X9," - ")</f>
        <v>2540</v>
      </c>
      <c r="BD9" s="126">
        <f>IF(ISNUMBER(BA9/AZ9),BA9/AZ9," - ")</f>
        <v>0.75206157229246839</v>
      </c>
      <c r="BE9" s="127">
        <f>IF(ISNUMBER(BB9/BA9),BB9/BA9, " - ")</f>
        <v>2.8986354775828458</v>
      </c>
      <c r="BF9" s="127">
        <f>IF(ISNUMBER(BC9/BA9),BC9/BA9, " - ")</f>
        <v>0.61890838206627685</v>
      </c>
      <c r="BG9" s="195">
        <f>IF(ISNUMBER((AY9+AZ9)/BA9),(AY9+AZ9)/BA9," - ")</f>
        <v>3.8986354775828458</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111</v>
      </c>
      <c r="J10" s="180">
        <v>35</v>
      </c>
      <c r="K10" s="180">
        <v>31</v>
      </c>
      <c r="L10" s="180">
        <v>119</v>
      </c>
      <c r="M10" s="180">
        <v>3</v>
      </c>
      <c r="N10" s="180">
        <v>22</v>
      </c>
      <c r="O10" s="180">
        <v>2</v>
      </c>
      <c r="P10" s="180">
        <v>2</v>
      </c>
      <c r="Q10" s="180">
        <v>15</v>
      </c>
      <c r="R10" s="180">
        <v>71</v>
      </c>
      <c r="S10" s="180">
        <v>131</v>
      </c>
      <c r="T10" s="180">
        <v>29</v>
      </c>
      <c r="U10" s="180">
        <v>44</v>
      </c>
      <c r="V10" s="180">
        <v>118</v>
      </c>
      <c r="W10" s="180">
        <v>27</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131</v>
      </c>
      <c r="AZ10" s="129">
        <f t="shared" si="0"/>
        <v>29</v>
      </c>
      <c r="BA10" s="129">
        <f t="shared" si="0"/>
        <v>44</v>
      </c>
      <c r="BB10" s="129">
        <f t="shared" si="0"/>
        <v>118</v>
      </c>
      <c r="BC10" s="125">
        <f t="shared" si="0"/>
        <v>27</v>
      </c>
      <c r="BD10" s="126">
        <f>IF(ISNUMBER(BA10/AZ10),BA10/AZ10," - ")</f>
        <v>1.5172413793103448</v>
      </c>
      <c r="BE10" s="127">
        <f>IF(ISNUMBER(BB10/BA10),BB10/BA10, " - ")</f>
        <v>2.6818181818181817</v>
      </c>
      <c r="BF10" s="127">
        <f>IF(ISNUMBER(BC10/BA10),BC10/BA10, " - ")</f>
        <v>0.61363636363636365</v>
      </c>
      <c r="BG10" s="195">
        <f>IF(ISNUMBER((AY10+AZ10)/BA10),(AY10+AZ10)/BA10," - ")</f>
        <v>3.6363636363636362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10353</v>
      </c>
      <c r="J13" s="183">
        <f t="shared" si="6"/>
        <v>3634</v>
      </c>
      <c r="K13" s="183">
        <f t="shared" si="6"/>
        <v>2633</v>
      </c>
      <c r="L13" s="183">
        <f t="shared" si="6"/>
        <v>11281</v>
      </c>
      <c r="M13" s="183">
        <f t="shared" si="6"/>
        <v>792</v>
      </c>
      <c r="N13" s="183">
        <f t="shared" si="6"/>
        <v>1695</v>
      </c>
      <c r="O13" s="183">
        <f t="shared" si="6"/>
        <v>852</v>
      </c>
      <c r="P13" s="183">
        <f t="shared" si="6"/>
        <v>557</v>
      </c>
      <c r="Q13" s="183">
        <f t="shared" si="6"/>
        <v>527</v>
      </c>
      <c r="R13" s="183">
        <f t="shared" si="6"/>
        <v>10745</v>
      </c>
      <c r="S13" s="183">
        <f t="shared" si="6"/>
        <v>10488</v>
      </c>
      <c r="T13" s="183">
        <f t="shared" si="6"/>
        <v>5219</v>
      </c>
      <c r="U13" s="183">
        <f t="shared" si="6"/>
        <v>3883</v>
      </c>
      <c r="V13" s="183">
        <f t="shared" si="6"/>
        <v>11826</v>
      </c>
      <c r="W13" s="183">
        <f t="shared" si="6"/>
        <v>678</v>
      </c>
      <c r="X13" s="183">
        <f t="shared" si="6"/>
        <v>2561</v>
      </c>
      <c r="Y13" s="183">
        <f t="shared" si="6"/>
        <v>263</v>
      </c>
      <c r="Z13" s="183">
        <f t="shared" si="6"/>
        <v>247</v>
      </c>
      <c r="AA13" s="183">
        <f t="shared" si="6"/>
        <v>274</v>
      </c>
      <c r="AB13" s="183">
        <f t="shared" si="6"/>
        <v>158</v>
      </c>
      <c r="AC13" s="183">
        <f t="shared" si="6"/>
        <v>0</v>
      </c>
      <c r="AD13" s="183">
        <f t="shared" si="6"/>
        <v>0</v>
      </c>
      <c r="AE13" s="183">
        <f t="shared" si="6"/>
        <v>0</v>
      </c>
      <c r="AF13" s="183">
        <f>SUBTOTAL(9,AF9:AF12)</f>
        <v>0</v>
      </c>
      <c r="AG13" s="183">
        <f t="shared" ref="AG13:AT13" si="7">SUBTOTAL(9,AG8:AG12)</f>
        <v>186</v>
      </c>
      <c r="AH13" s="183">
        <f t="shared" si="7"/>
        <v>267</v>
      </c>
      <c r="AI13" s="183">
        <f t="shared" si="7"/>
        <v>265</v>
      </c>
      <c r="AJ13" s="183">
        <f t="shared" si="7"/>
        <v>188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10674</v>
      </c>
      <c r="AZ13" s="183">
        <f>SUBTOTAL(9,AZ8:AZ12)</f>
        <v>5486</v>
      </c>
      <c r="BA13" s="183">
        <f>SUBTOTAL(9,BA8:BA12)</f>
        <v>4148</v>
      </c>
      <c r="BB13" s="183">
        <f>SUBTOTAL(9,BB8:BB12)</f>
        <v>12014</v>
      </c>
      <c r="BC13" s="183">
        <f>SUBTOTAL(9,BC8:BC12)</f>
        <v>2567</v>
      </c>
      <c r="BD13" s="204">
        <f>IF(ISNUMBER(BA13/AZ13),BA13/AZ13," - ")</f>
        <v>0.75610645278891719</v>
      </c>
      <c r="BE13" s="205">
        <f>IF(ISNUMBER(BB13/BA13),BB13/BA13, " - ")</f>
        <v>2.8963355834136935</v>
      </c>
      <c r="BF13" s="205">
        <f>IF(ISNUMBER(BC13/BA13),BC13/BA13, " - ")</f>
        <v>0.61885245901639341</v>
      </c>
      <c r="BG13" s="206">
        <f>IF(ISNUMBER((AY13+AZ13)/BA13),(AY13+AZ13)/BA13," - ")</f>
        <v>3.8958534233365478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1589</v>
      </c>
      <c r="J15" s="182">
        <v>2444</v>
      </c>
      <c r="K15" s="182">
        <v>2601</v>
      </c>
      <c r="L15" s="182">
        <v>1792</v>
      </c>
      <c r="M15" s="182">
        <v>362</v>
      </c>
      <c r="N15" s="182">
        <v>1377</v>
      </c>
      <c r="O15" s="180">
        <v>54</v>
      </c>
      <c r="P15" s="182">
        <v>144</v>
      </c>
      <c r="Q15" s="182">
        <v>108</v>
      </c>
      <c r="R15" s="182">
        <v>317</v>
      </c>
      <c r="S15" s="182">
        <v>1462</v>
      </c>
      <c r="T15" s="182">
        <v>2291</v>
      </c>
      <c r="U15" s="182">
        <v>2390</v>
      </c>
      <c r="V15" s="182">
        <v>1499</v>
      </c>
      <c r="W15" s="182">
        <v>361</v>
      </c>
      <c r="X15" s="188">
        <v>1471</v>
      </c>
      <c r="Y15" s="201">
        <v>0</v>
      </c>
      <c r="Z15" s="182">
        <v>0</v>
      </c>
      <c r="AA15" s="182">
        <v>0</v>
      </c>
      <c r="AB15" s="182">
        <v>0</v>
      </c>
      <c r="AC15" s="182">
        <v>2</v>
      </c>
      <c r="AD15" s="182">
        <v>63</v>
      </c>
      <c r="AE15" s="182">
        <v>63</v>
      </c>
      <c r="AF15" s="188">
        <v>2</v>
      </c>
      <c r="AG15" s="201">
        <v>0</v>
      </c>
      <c r="AH15" s="182">
        <v>0</v>
      </c>
      <c r="AI15" s="182">
        <v>0</v>
      </c>
      <c r="AJ15" s="202">
        <v>0</v>
      </c>
      <c r="AK15" s="181">
        <v>9</v>
      </c>
      <c r="AL15" s="182">
        <v>78</v>
      </c>
      <c r="AM15" s="182">
        <v>80</v>
      </c>
      <c r="AN15" s="188">
        <v>7</v>
      </c>
      <c r="AO15" s="258">
        <v>4</v>
      </c>
      <c r="AP15" s="154">
        <v>4</v>
      </c>
      <c r="AQ15" s="154">
        <v>4</v>
      </c>
      <c r="AR15" s="154">
        <v>4</v>
      </c>
      <c r="AS15" s="339" t="s">
        <v>520</v>
      </c>
      <c r="AT15" s="202" t="s">
        <v>327</v>
      </c>
      <c r="AU15" s="201"/>
      <c r="AV15" s="202"/>
      <c r="AW15" s="201"/>
      <c r="AX15" s="202"/>
      <c r="AY15" s="128">
        <f t="shared" ref="AY15:BB17" si="9">IF(ISNUMBER(IF(D_I="SI",S15,S15+AK15)),IF(D_I="SI",S15,S15+AK15)," - ")</f>
        <v>1462</v>
      </c>
      <c r="AZ15" s="129">
        <f t="shared" si="9"/>
        <v>2291</v>
      </c>
      <c r="BA15" s="129">
        <f t="shared" si="9"/>
        <v>2390</v>
      </c>
      <c r="BB15" s="129">
        <f t="shared" si="9"/>
        <v>1499</v>
      </c>
      <c r="BC15" s="125">
        <f>IF(ISNUMBER(W15),W15," - ")</f>
        <v>361</v>
      </c>
      <c r="BD15" s="126">
        <f>IF(ISNUMBER(BA15/AZ15),BA15/AZ15," - ")</f>
        <v>1.0432125709297251</v>
      </c>
      <c r="BE15" s="127">
        <f>IF(ISNUMBER(BB15/BA15),BB15/BA15, " - ")</f>
        <v>0.62719665271966529</v>
      </c>
      <c r="BF15" s="127">
        <f>IF(ISNUMBER(BC15/BA15),BC15/BA15, " - ")</f>
        <v>0.15104602510460252</v>
      </c>
      <c r="BG15" s="195">
        <f t="shared" ref="BG15:BG17" si="10">IF(ISNUMBER((AY15+AZ15)/BA15),(AY15+AZ15)/BA15," - ")</f>
        <v>1.5702928870292887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v>
      </c>
      <c r="J17" s="182">
        <v>0</v>
      </c>
      <c r="K17" s="182">
        <v>0</v>
      </c>
      <c r="L17" s="182">
        <v>1</v>
      </c>
      <c r="M17" s="182">
        <v>0</v>
      </c>
      <c r="N17" s="182">
        <v>0</v>
      </c>
      <c r="O17" s="180">
        <v>0</v>
      </c>
      <c r="P17" s="182">
        <v>0</v>
      </c>
      <c r="Q17" s="182">
        <v>0</v>
      </c>
      <c r="R17" s="182">
        <v>0</v>
      </c>
      <c r="S17" s="182">
        <v>8</v>
      </c>
      <c r="T17" s="182">
        <v>0</v>
      </c>
      <c r="U17" s="182">
        <v>3</v>
      </c>
      <c r="V17" s="182">
        <v>5</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8</v>
      </c>
      <c r="AZ17" s="127">
        <f t="shared" si="9"/>
        <v>0</v>
      </c>
      <c r="BA17" s="127">
        <f t="shared" si="9"/>
        <v>3</v>
      </c>
      <c r="BB17" s="127">
        <f t="shared" si="9"/>
        <v>5</v>
      </c>
      <c r="BC17" s="125">
        <f>IF(ISNUMBER(W17),W17," - ")</f>
        <v>0</v>
      </c>
      <c r="BD17" s="126" t="str">
        <f t="shared" ref="BD17" si="16">IF(ISNUMBER(BA17/AZ17),BA17/AZ17," - ")</f>
        <v xml:space="preserve"> - </v>
      </c>
      <c r="BE17" s="127">
        <f t="shared" ref="BE17" si="17">IF(ISNUMBER(BB17/BA17),BB17/BA17, " - ")</f>
        <v>1.6666666666666667</v>
      </c>
      <c r="BF17" s="127">
        <f t="shared" ref="BF17" si="18">IF(ISNUMBER(BC17/BA17),BC17/BA17, " - ")</f>
        <v>0</v>
      </c>
      <c r="BG17" s="195">
        <f t="shared" si="10"/>
        <v>2.6666666666666665</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282</v>
      </c>
      <c r="J18" s="182">
        <v>293</v>
      </c>
      <c r="K18" s="182">
        <v>272</v>
      </c>
      <c r="L18" s="182">
        <v>315</v>
      </c>
      <c r="M18" s="182">
        <v>5</v>
      </c>
      <c r="N18" s="182">
        <v>248</v>
      </c>
      <c r="O18" s="182">
        <v>0</v>
      </c>
      <c r="P18" s="182">
        <v>0</v>
      </c>
      <c r="Q18" s="182">
        <v>0</v>
      </c>
      <c r="R18" s="182">
        <v>9</v>
      </c>
      <c r="S18" s="182">
        <v>173</v>
      </c>
      <c r="T18" s="182">
        <v>254</v>
      </c>
      <c r="U18" s="182">
        <v>318</v>
      </c>
      <c r="V18" s="182">
        <v>113</v>
      </c>
      <c r="W18" s="182">
        <v>10</v>
      </c>
      <c r="X18" s="188">
        <v>191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173</v>
      </c>
      <c r="AZ18" s="129">
        <f t="shared" si="19"/>
        <v>254</v>
      </c>
      <c r="BA18" s="129">
        <f t="shared" si="19"/>
        <v>318</v>
      </c>
      <c r="BB18" s="129">
        <f t="shared" si="19"/>
        <v>113</v>
      </c>
      <c r="BC18" s="125">
        <f>IF(ISNUMBER(W18),W18," - ")</f>
        <v>10</v>
      </c>
      <c r="BD18" s="126">
        <f>IF(ISNUMBER(BA18/AZ18),BA18/AZ18," - ")</f>
        <v>1.2519685039370079</v>
      </c>
      <c r="BE18" s="127">
        <f>IF(ISNUMBER(BB18/BA18),BB18/BA18, " - ")</f>
        <v>0.35534591194968551</v>
      </c>
      <c r="BF18" s="127">
        <f>IF(ISNUMBER(BC18/BA18),BC18/BA18, " - ")</f>
        <v>3.1446540880503145E-2</v>
      </c>
      <c r="BG18" s="195">
        <f>IF(ISNUMBER((AY18+AZ18)/BA18),(AY18+AZ18)/BA18," - ")</f>
        <v>1.3427672955974843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1874</v>
      </c>
      <c r="J19" s="183">
        <f t="shared" si="20"/>
        <v>2737</v>
      </c>
      <c r="K19" s="183">
        <f t="shared" si="20"/>
        <v>2873</v>
      </c>
      <c r="L19" s="183">
        <f t="shared" si="20"/>
        <v>2108</v>
      </c>
      <c r="M19" s="183">
        <f t="shared" si="20"/>
        <v>367</v>
      </c>
      <c r="N19" s="183">
        <f t="shared" si="20"/>
        <v>1625</v>
      </c>
      <c r="O19" s="183">
        <f t="shared" si="20"/>
        <v>54</v>
      </c>
      <c r="P19" s="183">
        <f t="shared" si="20"/>
        <v>144</v>
      </c>
      <c r="Q19" s="183">
        <f t="shared" si="20"/>
        <v>108</v>
      </c>
      <c r="R19" s="183">
        <f t="shared" si="20"/>
        <v>326</v>
      </c>
      <c r="S19" s="183">
        <f t="shared" si="20"/>
        <v>1643</v>
      </c>
      <c r="T19" s="183">
        <f t="shared" si="20"/>
        <v>2545</v>
      </c>
      <c r="U19" s="183">
        <f t="shared" si="20"/>
        <v>2711</v>
      </c>
      <c r="V19" s="183">
        <f t="shared" si="20"/>
        <v>1617</v>
      </c>
      <c r="W19" s="183">
        <f t="shared" si="20"/>
        <v>371</v>
      </c>
      <c r="X19" s="183">
        <f t="shared" si="20"/>
        <v>1665</v>
      </c>
      <c r="Y19" s="183">
        <f t="shared" si="20"/>
        <v>0</v>
      </c>
      <c r="Z19" s="183">
        <f t="shared" si="20"/>
        <v>0</v>
      </c>
      <c r="AA19" s="183">
        <f t="shared" si="20"/>
        <v>0</v>
      </c>
      <c r="AB19" s="183">
        <f t="shared" si="20"/>
        <v>0</v>
      </c>
      <c r="AC19" s="183">
        <f t="shared" si="20"/>
        <v>2</v>
      </c>
      <c r="AD19" s="183">
        <f t="shared" si="20"/>
        <v>63</v>
      </c>
      <c r="AE19" s="183">
        <f t="shared" si="20"/>
        <v>63</v>
      </c>
      <c r="AF19" s="183">
        <f t="shared" si="20"/>
        <v>2</v>
      </c>
      <c r="AG19" s="183">
        <f t="shared" si="20"/>
        <v>0</v>
      </c>
      <c r="AH19" s="183">
        <f t="shared" si="20"/>
        <v>0</v>
      </c>
      <c r="AI19" s="183">
        <f t="shared" si="20"/>
        <v>0</v>
      </c>
      <c r="AJ19" s="183">
        <f t="shared" si="20"/>
        <v>0</v>
      </c>
      <c r="AK19" s="183">
        <f t="shared" si="20"/>
        <v>9</v>
      </c>
      <c r="AL19" s="183">
        <f t="shared" si="20"/>
        <v>78</v>
      </c>
      <c r="AM19" s="183">
        <f t="shared" si="20"/>
        <v>80</v>
      </c>
      <c r="AN19" s="183">
        <f t="shared" si="20"/>
        <v>7</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1643</v>
      </c>
      <c r="AZ19" s="183">
        <f>SUBTOTAL(9,AZ14:AZ18)</f>
        <v>2545</v>
      </c>
      <c r="BA19" s="183">
        <f>SUBTOTAL(9,BA14:BA18)</f>
        <v>2711</v>
      </c>
      <c r="BB19" s="183">
        <f>SUBTOTAL(9,BB14:BB18)</f>
        <v>1617</v>
      </c>
      <c r="BC19" s="183">
        <f>SUBTOTAL(9,BC14:BC18)</f>
        <v>371</v>
      </c>
      <c r="BD19" s="204">
        <f>IF(ISNUMBER(BA19/AZ19),BA19/AZ19," - ")</f>
        <v>1.0652259332023575</v>
      </c>
      <c r="BE19" s="205">
        <f>IF(ISNUMBER(BB19/BA19),BB19/BA19, " - ")</f>
        <v>0.5964588712652158</v>
      </c>
      <c r="BF19" s="205">
        <f>IF(ISNUMBER(BC19/BA19),BC19/BA19, " - ")</f>
        <v>0.1368498708963482</v>
      </c>
      <c r="BG19" s="206">
        <f>IF(ISNUMBER((AY19+AZ19)/BA19),(AY19+AZ19)/BA19," - ")</f>
        <v>1.5448174105496126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12227</v>
      </c>
      <c r="J20" s="134">
        <f t="shared" si="23"/>
        <v>6371</v>
      </c>
      <c r="K20" s="134">
        <f t="shared" si="23"/>
        <v>5506</v>
      </c>
      <c r="L20" s="134">
        <f t="shared" si="23"/>
        <v>13389</v>
      </c>
      <c r="M20" s="134">
        <f t="shared" si="23"/>
        <v>1159</v>
      </c>
      <c r="N20" s="134">
        <f t="shared" si="23"/>
        <v>3320</v>
      </c>
      <c r="O20" s="134">
        <f t="shared" si="23"/>
        <v>906</v>
      </c>
      <c r="P20" s="134">
        <f t="shared" si="23"/>
        <v>701</v>
      </c>
      <c r="Q20" s="134">
        <f t="shared" si="23"/>
        <v>635</v>
      </c>
      <c r="R20" s="134">
        <f t="shared" si="23"/>
        <v>11071</v>
      </c>
      <c r="S20" s="134">
        <f t="shared" si="23"/>
        <v>12131</v>
      </c>
      <c r="T20" s="134">
        <f t="shared" si="23"/>
        <v>7764</v>
      </c>
      <c r="U20" s="134">
        <f t="shared" si="23"/>
        <v>6594</v>
      </c>
      <c r="V20" s="134">
        <f t="shared" si="23"/>
        <v>13443</v>
      </c>
      <c r="W20" s="134">
        <f t="shared" si="23"/>
        <v>1049</v>
      </c>
      <c r="X20" s="134">
        <f t="shared" si="23"/>
        <v>4226</v>
      </c>
      <c r="Y20" s="134">
        <f t="shared" si="23"/>
        <v>263</v>
      </c>
      <c r="Z20" s="134">
        <f t="shared" si="23"/>
        <v>247</v>
      </c>
      <c r="AA20" s="134">
        <f t="shared" si="23"/>
        <v>274</v>
      </c>
      <c r="AB20" s="134">
        <f t="shared" si="23"/>
        <v>158</v>
      </c>
      <c r="AC20" s="134">
        <f t="shared" si="23"/>
        <v>2</v>
      </c>
      <c r="AD20" s="134">
        <f t="shared" si="23"/>
        <v>63</v>
      </c>
      <c r="AE20" s="134">
        <f t="shared" si="23"/>
        <v>63</v>
      </c>
      <c r="AF20" s="134">
        <f t="shared" si="23"/>
        <v>2</v>
      </c>
      <c r="AG20" s="134">
        <f t="shared" si="23"/>
        <v>186</v>
      </c>
      <c r="AH20" s="134">
        <f t="shared" si="23"/>
        <v>267</v>
      </c>
      <c r="AI20" s="134">
        <f t="shared" si="23"/>
        <v>265</v>
      </c>
      <c r="AJ20" s="134">
        <f t="shared" si="23"/>
        <v>188</v>
      </c>
      <c r="AK20" s="134">
        <f t="shared" si="23"/>
        <v>9</v>
      </c>
      <c r="AL20" s="134">
        <f t="shared" si="23"/>
        <v>78</v>
      </c>
      <c r="AM20" s="134">
        <f t="shared" si="23"/>
        <v>80</v>
      </c>
      <c r="AN20" s="209">
        <f t="shared" si="23"/>
        <v>7</v>
      </c>
      <c r="AO20" s="210">
        <v>11</v>
      </c>
      <c r="AP20" s="210">
        <v>11</v>
      </c>
      <c r="AQ20" s="210">
        <v>11</v>
      </c>
      <c r="AR20" s="210">
        <v>11</v>
      </c>
      <c r="AS20" s="152">
        <f t="shared" si="23"/>
        <v>0</v>
      </c>
      <c r="AT20" s="152">
        <f t="shared" si="23"/>
        <v>0</v>
      </c>
      <c r="AU20" s="210"/>
      <c r="AV20" s="211"/>
      <c r="AW20" s="210"/>
      <c r="AX20" s="211"/>
      <c r="AY20" s="133">
        <f>SUBTOTAL(9,AY9:AY19)</f>
        <v>12317</v>
      </c>
      <c r="AZ20" s="134">
        <f>SUBTOTAL(9,AZ9:AZ19)</f>
        <v>8031</v>
      </c>
      <c r="BA20" s="134">
        <f>SUBTOTAL(9,BA9:BA19)</f>
        <v>6859</v>
      </c>
      <c r="BB20" s="134">
        <f>SUBTOTAL(9,BB9:BB19)</f>
        <v>13631</v>
      </c>
      <c r="BC20" s="135">
        <f>SUBTOTAL(9,BC9:BC19)</f>
        <v>2938</v>
      </c>
      <c r="BD20" s="212">
        <f>IF(ISNUMBER(BA20/AZ20),BA20/AZ20," - ")</f>
        <v>0.85406549620221639</v>
      </c>
      <c r="BE20" s="209">
        <f>IF(ISNUMBER(BB20/BA20),BB20/BA20, " - ")</f>
        <v>1.9873159352675318</v>
      </c>
      <c r="BF20" s="209">
        <f>IF(ISNUMBER(BC20/BA20),BC20/BA20, " - ")</f>
        <v>0.42834232395392913</v>
      </c>
      <c r="BG20" s="135">
        <f>IF(ISNUMBER((AY20+AZ20)/BA20),(AY20+AZ20)/BA20," - ")</f>
        <v>2.9666132089225834</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JrLEZMX614YaRmWtmoCpB3v7CFDlNNvFy8VDCW1y9rvGqlTiEb6hz3NeAVmjBJ3wfj2+ZPHqsIPlSIB4/iiUw==" saltValue="N3swaPpdUXnlNLKx0cSqO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2K0EQOqeZLI/lSRrkUB1/JweEP0Q/67+Gai0IBh/nb7zoHw64LPSw91MvoYmc17+ibAgv3oNz4TEJG7YX53eg==" saltValue="eP7pb8kMSWM1WSZZ2Pokw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TORREJON DE ARDOZ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247</v>
      </c>
      <c r="O9" s="1247"/>
      <c r="P9" s="1247"/>
      <c r="Q9" s="1215">
        <f>IF(ISNUMBER(Datos!P9),Datos!P9,0)</f>
        <v>555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512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158</v>
      </c>
      <c r="AI9" s="1247" t="str">
        <f>IF(ISNUMBER(Datos!CD9),Datos!CD9,"-")</f>
        <v>-</v>
      </c>
      <c r="AJ9" s="1247" t="str">
        <f>IF(ISNUMBER(Datos!EN9),Datos!EN9," - ")</f>
        <v xml:space="preserve"> - </v>
      </c>
      <c r="AK9" s="1247"/>
      <c r="AL9" s="1258"/>
      <c r="AM9" s="1248">
        <f>IF(ISNUMBER(Datos!R9),Datos!R9," - ")</f>
        <v>10674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789</v>
      </c>
      <c r="BD9" s="1218">
        <f>IF(ISNUMBER(Datos!N9),Datos!N9," - ")</f>
        <v>1673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0.74778991159646391</v>
      </c>
      <c r="BH9" s="1226">
        <f>IF(ISNUMBER(((IF(J_V="SI",Datos!L9/Datos!K9,(Datos!L9+Datos!AB9)/(Datos!K9+Datos!AA9)))*11)/factor_trimestre),((IF(J_V="SI",Datos!L9/Datos!K9,(Datos!L9+Datos!AB9)/(Datos!K9+Datos!AA9)))*11)/factor_trimestre," - ")</f>
        <v>11.808066759388041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4.0447747154548023E-3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115</v>
      </c>
      <c r="G10" s="1246">
        <f>IF(ISNUMBER(Datos!I10),Datos!I10," - ")</f>
        <v>111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31</v>
      </c>
      <c r="AC10" s="1215">
        <f>IF(ISNUMBER(Datos!Q10),Datos!Q10," - ")</f>
        <v>15</v>
      </c>
      <c r="AD10" s="1247"/>
      <c r="AE10" s="1262"/>
      <c r="AF10" s="1245">
        <f>IF(ISNUMBER(Datos!L10),Datos!L10,"-")</f>
        <v>119</v>
      </c>
      <c r="AG10" s="1247"/>
      <c r="AH10" s="1247"/>
      <c r="AI10" s="1247"/>
      <c r="AJ10" s="1247"/>
      <c r="AK10" s="1247"/>
      <c r="AL10" s="1258"/>
      <c r="AM10" s="1248">
        <f>IF(ISNUMBER(Datos!R10),Datos!R10," - ")</f>
        <v>71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22</v>
      </c>
      <c r="BE10" s="1218" t="str">
        <f>IF(ISNUMBER(Datos!BW10),Datos!BW10," - ")</f>
        <v xml:space="preserve"> - </v>
      </c>
      <c r="BF10" s="1217" t="str">
        <f>IF(ISNUMBER(Datos!BX10),Datos!BX10," - ")</f>
        <v xml:space="preserve"> - </v>
      </c>
      <c r="BG10" s="1223">
        <f>IF(ISNUMBER(Datos!K10/Datos!J10),Datos!K10/Datos!J10," - ")</f>
        <v>0.88571428571428568</v>
      </c>
      <c r="BH10" s="1226">
        <f>IF(ISNUMBER(((Datos!L10/Datos!K10)*11)/factor_trimestre),((Datos!L10/Datos!K10)*11)/factor_trimestre," - ")</f>
        <v>11.516129032258066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-0.15476190476190477</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115</v>
      </c>
      <c r="G13" s="1391">
        <f t="shared" si="0"/>
        <v>111</v>
      </c>
      <c r="H13" s="1392">
        <f t="shared" si="0"/>
        <v>0</v>
      </c>
      <c r="I13" s="1391">
        <f t="shared" si="0"/>
        <v>0</v>
      </c>
      <c r="J13" s="1383">
        <f t="shared" si="0"/>
        <v>0</v>
      </c>
      <c r="K13" s="1383">
        <f t="shared" si="0"/>
        <v>0</v>
      </c>
      <c r="L13" s="1392">
        <f t="shared" si="0"/>
        <v>0</v>
      </c>
      <c r="M13" s="1392">
        <f t="shared" si="0"/>
        <v>0</v>
      </c>
      <c r="N13" s="1392">
        <f t="shared" si="0"/>
        <v>247</v>
      </c>
      <c r="O13" s="1393">
        <f t="shared" si="0"/>
        <v>0</v>
      </c>
      <c r="P13" s="1393">
        <f t="shared" si="0"/>
        <v>0</v>
      </c>
      <c r="Q13" s="1392">
        <f t="shared" si="0"/>
        <v>557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31</v>
      </c>
      <c r="AC13" s="1392">
        <f t="shared" si="1"/>
        <v>527</v>
      </c>
      <c r="AD13" s="1392">
        <f t="shared" si="1"/>
        <v>0</v>
      </c>
      <c r="AE13" s="1392">
        <f t="shared" si="1"/>
        <v>0</v>
      </c>
      <c r="AF13" s="1392">
        <f t="shared" si="1"/>
        <v>119</v>
      </c>
      <c r="AG13" s="1392">
        <f t="shared" si="1"/>
        <v>0</v>
      </c>
      <c r="AH13" s="1392">
        <f t="shared" si="1"/>
        <v>158</v>
      </c>
      <c r="AI13" s="1392">
        <f t="shared" si="1"/>
        <v>0</v>
      </c>
      <c r="AJ13" s="1392">
        <f t="shared" si="1"/>
        <v>0</v>
      </c>
      <c r="AK13" s="1392">
        <f t="shared" si="1"/>
        <v>0</v>
      </c>
      <c r="AL13" s="1392">
        <f t="shared" si="1"/>
        <v>0</v>
      </c>
      <c r="AM13" s="1392">
        <f t="shared" si="1"/>
        <v>10745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792</v>
      </c>
      <c r="BD13" s="1392">
        <f t="shared" si="1"/>
        <v>1695</v>
      </c>
      <c r="BE13" s="1392">
        <f t="shared" si="1"/>
        <v>0</v>
      </c>
      <c r="BF13" s="1392">
        <f t="shared" si="1"/>
        <v>0</v>
      </c>
      <c r="BG13" s="1392">
        <f>IF(ISNUMBER(Datos!K13/Datos!J13),Datos!K13/Datos!J13," - ")</f>
        <v>0.72454595487066598</v>
      </c>
      <c r="BH13" s="1396">
        <f>IF(ISNUMBER(((Datos!L13/Datos!K13)*11)/factor_trimestre),((Datos!L13/Datos!K13)*11)/factor_trimestre," - ")</f>
        <v>12.853399164451197</v>
      </c>
      <c r="BI13" s="1392">
        <f>IF(ISNUMBER('Resol  Asuntos'!D13/NºAsuntos!G13),'Resol  Asuntos'!D13/NºAsuntos!G13," - ")</f>
        <v>0.27244582043343651</v>
      </c>
      <c r="BJ13" s="1392" t="str">
        <f>IF(ISNUMBER(Datos!CI13/Datos!CJ13),Datos!CI13/Datos!CJ13," - ")</f>
        <v xml:space="preserve"> - </v>
      </c>
      <c r="BK13" s="1392">
        <f>SUBTOTAL(9,BK8:BK12)</f>
        <v>0</v>
      </c>
      <c r="BL13" s="1392">
        <f>IF(ISNUMBER((I13-AB13+L13)/(F13)),(I13-AB13+L13)/(F13)," - ")</f>
        <v>-0.26956521739130435</v>
      </c>
      <c r="BM13" s="1397">
        <f>SUBTOTAL(9,BM9:BM12)</f>
        <v>-0.15071713004644996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1949</v>
      </c>
      <c r="G15" s="1335">
        <f>IF(ISNUMBER(IF(D_I="SI",Datos!I15,Datos!I15+Datos!AC15)),IF(D_I="SI",Datos!I15,Datos!I15+Datos!AC15)," - ")</f>
        <v>1589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144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2601</v>
      </c>
      <c r="AC15" s="1215">
        <f>IF(ISNUMBER(Datos!Q15),Datos!Q15," - ")</f>
        <v>108</v>
      </c>
      <c r="AD15" s="1247"/>
      <c r="AE15" s="1262"/>
      <c r="AF15" s="1333">
        <f>IF(ISNUMBER(IF(D_I="SI",Datos!L15,Datos!L15+Datos!AF15)),IF(D_I="SI",Datos!L15,Datos!L15+Datos!AF15)," - ")</f>
        <v>1792</v>
      </c>
      <c r="AG15" s="1247"/>
      <c r="AH15" s="1247"/>
      <c r="AI15" s="1247"/>
      <c r="AJ15" s="1247"/>
      <c r="AK15" s="1247"/>
      <c r="AL15" s="1258"/>
      <c r="AM15" s="1248">
        <f>IF(ISNUMBER(Datos!R15),Datos!R15," - ")</f>
        <v>317</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362</v>
      </c>
      <c r="BD15" s="1218">
        <f>IF(ISNUMBER(Datos!N15),Datos!N15," - ")</f>
        <v>1377</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1.0642389525368248</v>
      </c>
      <c r="BH15" s="1226">
        <f>IF(ISNUMBER(((IF(D_I="SI",Datos!L15/Datos!K15,(Datos!L15+Datos!AF15)/(Datos!K15+Datos!AE15)))*11)/factor_trimestre),((IF(D_I="SI",Datos!L15/Datos!K15,(Datos!L15+Datos!AF15)/(Datos!K15+Datos!AE15)))*11)/factor_trimestre," - ")</f>
        <v>2.0668973471741641</v>
      </c>
      <c r="BI15" s="1223">
        <f>IF(ISNUMBER('Resol  Asuntos'!D15/NºAsuntos!G15),'Resol  Asuntos'!D15/NºAsuntos!G15," - ")</f>
        <v>0.13917723952326028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1</v>
      </c>
      <c r="G17" s="1335">
        <f>IF(ISNUMBER(IF(D_I="SI",Datos!I17,Datos!I17+Datos!AC17)),IF(D_I="SI",Datos!I17,Datos!I17+Datos!AC17)," - ")</f>
        <v>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1</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282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272</v>
      </c>
      <c r="AC18" s="1215">
        <f>IF(ISNUMBER(Datos!Q18),Datos!Q18," - ")</f>
        <v>0</v>
      </c>
      <c r="AD18" s="1247"/>
      <c r="AE18" s="1262"/>
      <c r="AF18" s="1245">
        <f>IF(ISNUMBER(Datos!L18),Datos!L18,"-")</f>
        <v>315</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248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0.92832764505119458</v>
      </c>
      <c r="BH18" s="1226">
        <f>IF(ISNUMBER(((IF(D_I="SI",Datos!L18/Datos!K18,(Datos!L18+Datos!AF18)/(Datos!K18+Datos!AE18)))*11)/factor_trimestre),((IF(D_I="SI",Datos!L18/Datos!K18,(Datos!L18+Datos!AF18)/(Datos!K18+Datos!AE18)))*11)/factor_trimestre," - ")</f>
        <v>3.4742647058823533</v>
      </c>
      <c r="BI18" s="1223">
        <f>IF(ISNUMBER('Resol  Asuntos'!D18/NºAsuntos!G18),'Resol  Asuntos'!D18/NºAsuntos!G18," - ")</f>
        <v>1.8382352941176471E-2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1950</v>
      </c>
      <c r="G19" s="1391">
        <f>SUBTOTAL(9,G15:G18)</f>
        <v>1874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2873</v>
      </c>
      <c r="AC19" s="1392">
        <f t="shared" si="4"/>
        <v>108</v>
      </c>
      <c r="AD19" s="1392">
        <f t="shared" si="4"/>
        <v>0</v>
      </c>
      <c r="AE19" s="1392">
        <f t="shared" si="4"/>
        <v>0</v>
      </c>
      <c r="AF19" s="1392">
        <f t="shared" si="4"/>
        <v>2108</v>
      </c>
      <c r="AG19" s="1392">
        <f t="shared" si="4"/>
        <v>0</v>
      </c>
      <c r="AH19" s="1392">
        <f t="shared" si="4"/>
        <v>0</v>
      </c>
      <c r="AI19" s="1392">
        <f t="shared" si="4"/>
        <v>0</v>
      </c>
      <c r="AJ19" s="1392">
        <f t="shared" si="4"/>
        <v>0</v>
      </c>
      <c r="AK19" s="1392">
        <f t="shared" si="4"/>
        <v>0</v>
      </c>
      <c r="AL19" s="1392">
        <f t="shared" si="4"/>
        <v>0</v>
      </c>
      <c r="AM19" s="1392">
        <f t="shared" si="4"/>
        <v>326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367</v>
      </c>
      <c r="BD19" s="1392">
        <f t="shared" si="4"/>
        <v>1625</v>
      </c>
      <c r="BE19" s="1392">
        <f t="shared" si="4"/>
        <v>0</v>
      </c>
      <c r="BF19" s="1392">
        <f t="shared" si="4"/>
        <v>0</v>
      </c>
      <c r="BG19" s="1392">
        <f>IF(ISNUMBER(Datos!K19/Datos!J19),Datos!K19/Datos!J19," - ")</f>
        <v>1.0496894409937889</v>
      </c>
      <c r="BH19" s="1396">
        <f>IF(ISNUMBER(((Datos!L19/Datos!K19)*11)/factor_trimestre),((Datos!L19/Datos!K19)*11)/factor_trimestre," - ")</f>
        <v>2.2011834319526629</v>
      </c>
      <c r="BI19" s="1392">
        <f>SUBTOTAL(9,BI15:BI18)</f>
        <v>0.15755959246443674</v>
      </c>
      <c r="BJ19" s="1392">
        <f>SUBTOTAL(9,BJ15:BJ18)</f>
        <v>0</v>
      </c>
      <c r="BK19" s="1392">
        <f>SUBTOTAL(9,BK15:BK18)</f>
        <v>0</v>
      </c>
      <c r="BL19" s="1392">
        <f>IF(ISNUMBER((I19-AB19+L19)/(F19)),(I19-AB19+L19)/(F19)," - ")</f>
        <v>-1.4733333333333334</v>
      </c>
      <c r="BM19" s="1398">
        <f>IF(ISNUMBER((Datos!P19-Datos!Q19)/(Datos!R19-Datos!P19+Datos!Q19)),(Datos!P19-Datos!Q19)/(Datos!R19-Datos!P19+Datos!Q19)," - ")</f>
        <v>0.12413793103448276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2065</v>
      </c>
      <c r="G20" s="1367">
        <f t="shared" si="6"/>
        <v>1985</v>
      </c>
      <c r="H20" s="1369">
        <f t="shared" si="6"/>
        <v>0</v>
      </c>
      <c r="I20" s="1367">
        <f t="shared" si="6"/>
        <v>0</v>
      </c>
      <c r="J20" s="1369">
        <f t="shared" si="6"/>
        <v>0</v>
      </c>
      <c r="K20" s="1369">
        <f t="shared" si="6"/>
        <v>0</v>
      </c>
      <c r="L20" s="1386">
        <f t="shared" si="6"/>
        <v>0</v>
      </c>
      <c r="M20" s="1386">
        <f t="shared" si="6"/>
        <v>0</v>
      </c>
      <c r="N20" s="1386">
        <f t="shared" si="6"/>
        <v>247</v>
      </c>
      <c r="O20" s="1386">
        <f t="shared" si="6"/>
        <v>0</v>
      </c>
      <c r="P20" s="1386">
        <f t="shared" si="6"/>
        <v>0</v>
      </c>
      <c r="Q20" s="1369">
        <f t="shared" si="6"/>
        <v>701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2904</v>
      </c>
      <c r="AC20" s="1368">
        <f t="shared" si="7"/>
        <v>635</v>
      </c>
      <c r="AD20" s="1368">
        <f t="shared" si="7"/>
        <v>0</v>
      </c>
      <c r="AE20" s="1368">
        <f t="shared" si="7"/>
        <v>0</v>
      </c>
      <c r="AF20" s="1371">
        <f t="shared" si="7"/>
        <v>2227</v>
      </c>
      <c r="AG20" s="1371">
        <f t="shared" si="7"/>
        <v>0</v>
      </c>
      <c r="AH20" s="1371">
        <f t="shared" si="7"/>
        <v>158</v>
      </c>
      <c r="AI20" s="1371">
        <f t="shared" si="7"/>
        <v>0</v>
      </c>
      <c r="AJ20" s="1368">
        <f t="shared" si="7"/>
        <v>0</v>
      </c>
      <c r="AK20" s="1371">
        <f t="shared" si="7"/>
        <v>0</v>
      </c>
      <c r="AL20" s="1371">
        <f t="shared" si="7"/>
        <v>0</v>
      </c>
      <c r="AM20" s="1371">
        <f t="shared" si="7"/>
        <v>11071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1159</v>
      </c>
      <c r="BD20" s="1367">
        <f t="shared" si="7"/>
        <v>3320</v>
      </c>
      <c r="BE20" s="1367">
        <f t="shared" si="7"/>
        <v>0</v>
      </c>
      <c r="BF20" s="1373">
        <f t="shared" si="7"/>
        <v>0</v>
      </c>
      <c r="BG20" s="1404">
        <f>IF(ISNUMBER(Datos!K20/Datos!J20),Datos!K20/Datos!J20," - ")</f>
        <v>0.86422853555171875</v>
      </c>
      <c r="BH20" s="1404">
        <f>IF(ISNUMBER(((Datos!L20/Datos!K20)*11)/factor_trimestre),((Datos!L20/Datos!K20)*11)/factor_trimestre," - ")</f>
        <v>7.2951325826371241</v>
      </c>
      <c r="BI20" s="1362">
        <f>IF(ISNUMBER(Datos!J20/Datos!I20),Datos!J20/Datos!I20," - ")</f>
        <v>0.52105994929254928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-1.4062953995157386</v>
      </c>
      <c r="BM20" s="1387">
        <f>IF(ISNUMBER((Datos!P20-Datos!Q20+R20)/(Datos!R20-Datos!P20+Datos!Q20-R20)),(Datos!P20-Datos!Q20+R20)/(Datos!R20-Datos!P20+Datos!Q20-R20)," - ")</f>
        <v>5.9972739663789187E-3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661.66666666666663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2.7968235951204043</v>
      </c>
      <c r="F22" s="1298">
        <f>IF(ISNUMBER(STDEV(F8:F19)),STDEV(F8:F19),"-")</f>
        <v>1026.6659632032222</v>
      </c>
      <c r="G22" s="1299">
        <f>IF(ISNUMBER(STDEV(G8:G19)),STDEV(G8:G19),"-")</f>
        <v>838.35020526428377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1376.4513794537022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353.07290492258988</v>
      </c>
      <c r="BD22" s="1298"/>
      <c r="BE22" s="1298">
        <f>IF(ISNUMBER(STDEV(BE8:BE19)),STDEV(BE8:BE19),"-")</f>
        <v>0</v>
      </c>
      <c r="BF22" s="1303">
        <f>IF(ISNUMBER(STDEV(BF8:BF19)),STDEV(BF8:BF19),"-")</f>
        <v>0</v>
      </c>
      <c r="BG22" s="1360">
        <f>IF(ISNUMBER(STDEV(BG8:BG19)),STDEV(BG8:BG19),"-")</f>
        <v>0.14445754858838042</v>
      </c>
      <c r="BH22" s="1361">
        <f>IF(ISNUMBER(STDEV(BH8:BH19)),STDEV(BH8:BH19),"-")</f>
        <v>5.2336564445042582</v>
      </c>
      <c r="BI22" s="1224">
        <f>IF(ISNUMBER(STDEV(BI8:BI19)),STDEV(BI8:BI19),"-")</f>
        <v>0.10400609961050973</v>
      </c>
      <c r="BJ22" s="1219" t="str">
        <f>IF(ISNUMBER(BL22/BM22),BL22/BM22," - ")</f>
        <v xml:space="preserve"> - </v>
      </c>
      <c r="BK22" s="1320"/>
      <c r="BL22" s="1306">
        <f>IF(ISNUMBER(STDEV(BL8:BL19)),STDEV(BL8:BL19),"-")</f>
        <v>0.85119259775876277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lek3ZEgzieSHGUpz1RL7TsCpcRcLT90hu6Lfu4CWiO44XIkm4+StBiUPzfjaO5zFK3YVc7BBc8SBIYD/AGkRg==" saltValue="OzSMUT0i46VgV8bbxU12m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TORREJON DE ARDOZ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555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512</v>
      </c>
      <c r="AA9" s="331" t="str">
        <f>IF(ISNUMBER(IF(J_V="SI",Datos!L9,Datos!L9+Datos!AB9)-IF(Monitorios="SI",Datos!CD9,0)),
                          IF(J_V="SI",Datos!L9,Datos!L9+Datos!AB9)-IF(Monitorios="SI",Datos!CD9,0),
                          " - ")</f>
        <v xml:space="preserve"> - </v>
      </c>
      <c r="AB9" s="333"/>
      <c r="AC9" s="333"/>
      <c r="AD9" s="483"/>
      <c r="AE9" s="483">
        <f>IF(ISNUMBER(Datos!R9),Datos!R9," - ")</f>
        <v>10674</v>
      </c>
      <c r="AF9" s="228" t="str">
        <f>IF(ISNUMBER(Datos!BV9),Datos!BV9," - ")</f>
        <v xml:space="preserve"> - </v>
      </c>
      <c r="AG9" s="224" t="str">
        <f>IF(ISNUMBER(Datos!DV9),Datos!DV9," - ")</f>
        <v xml:space="preserve"> - </v>
      </c>
      <c r="AH9" s="297"/>
      <c r="AI9" s="226"/>
      <c r="AJ9" s="224">
        <f>IF(ISNUMBER(Datos!M9),Datos!M9," - ")</f>
        <v>789</v>
      </c>
      <c r="AK9" s="228">
        <f>IF(ISNUMBER(Datos!N9),Datos!N9," - ")</f>
        <v>1673</v>
      </c>
      <c r="AL9" s="228" t="str">
        <f>IF(ISNUMBER(Datos!BW9),Datos!BW9," - ")</f>
        <v xml:space="preserve"> - </v>
      </c>
      <c r="AM9" s="227" t="str">
        <f>IF(ISNUMBER(Datos!BX9),Datos!BX9," - ")</f>
        <v xml:space="preserve"> - </v>
      </c>
      <c r="AN9" s="242"/>
      <c r="AO9" s="259">
        <f>IF(ISNUMBER(((NºAsuntos!I9/NºAsuntos!G9)*11)/factor_trimestre),((NºAsuntos!I9/NºAsuntos!G9)*11)/factor_trimestre," - ")</f>
        <v>11.808066759388041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4.0447747154548023E-3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115</v>
      </c>
      <c r="G10" s="224">
        <f>IF(ISNUMBER(Datos!I10),Datos!I10," - ")</f>
        <v>111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31</v>
      </c>
      <c r="Z10" s="617">
        <f>IF(ISNUMBER(Datos!Q10),Datos!Q10," - ")</f>
        <v>15</v>
      </c>
      <c r="AA10" s="331">
        <f>IF(ISNUMBER(Datos!L10),Datos!L10,"-")</f>
        <v>119</v>
      </c>
      <c r="AB10" s="333"/>
      <c r="AC10" s="333"/>
      <c r="AD10" s="483"/>
      <c r="AE10" s="483">
        <f>IF(ISNUMBER(Datos!R10),Datos!R10," - ")</f>
        <v>71</v>
      </c>
      <c r="AF10" s="228" t="str">
        <f>IF(ISNUMBER(Datos!BV10),Datos!BV10," - ")</f>
        <v xml:space="preserve"> - </v>
      </c>
      <c r="AG10" s="224" t="str">
        <f>IF(ISNUMBER(Datos!DV10),Datos!DV10," - ")</f>
        <v xml:space="preserve"> - </v>
      </c>
      <c r="AH10" s="297"/>
      <c r="AI10" s="226"/>
      <c r="AJ10" s="224">
        <f>IF(ISNUMBER(Datos!M10),Datos!M10," - ")</f>
        <v>3</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11.516129032258066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-0.15476190476190477</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115</v>
      </c>
      <c r="G13" s="895">
        <f>SUBTOTAL(9,G8:G12)</f>
        <v>111</v>
      </c>
      <c r="H13" s="905"/>
      <c r="I13" s="895">
        <f t="shared" ref="I13:N13" si="0">SUBTOTAL(9,I8:I12)</f>
        <v>0</v>
      </c>
      <c r="J13" s="864">
        <f t="shared" si="0"/>
        <v>0</v>
      </c>
      <c r="K13" s="905">
        <f t="shared" si="0"/>
        <v>0</v>
      </c>
      <c r="L13" s="905">
        <f t="shared" si="0"/>
        <v>0</v>
      </c>
      <c r="M13" s="905">
        <f t="shared" si="0"/>
        <v>0</v>
      </c>
      <c r="N13" s="905">
        <f t="shared" si="0"/>
        <v>557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31</v>
      </c>
      <c r="Z13" s="904">
        <f t="shared" si="2"/>
        <v>527</v>
      </c>
      <c r="AA13" s="897">
        <f t="shared" si="2"/>
        <v>119</v>
      </c>
      <c r="AB13" s="897">
        <f t="shared" si="2"/>
        <v>0</v>
      </c>
      <c r="AC13" s="897">
        <f t="shared" si="2"/>
        <v>0</v>
      </c>
      <c r="AD13" s="897">
        <f t="shared" si="2"/>
        <v>0</v>
      </c>
      <c r="AE13" s="897">
        <f t="shared" si="2"/>
        <v>10745</v>
      </c>
      <c r="AF13" s="905">
        <f t="shared" si="2"/>
        <v>0</v>
      </c>
      <c r="AG13" s="905">
        <f t="shared" si="2"/>
        <v>0</v>
      </c>
      <c r="AH13" s="905">
        <f t="shared" si="2"/>
        <v>0</v>
      </c>
      <c r="AI13" s="905">
        <f t="shared" si="2"/>
        <v>0</v>
      </c>
      <c r="AJ13" s="905">
        <f t="shared" si="2"/>
        <v>792</v>
      </c>
      <c r="AK13" s="905">
        <f t="shared" si="2"/>
        <v>1695</v>
      </c>
      <c r="AL13" s="905">
        <f t="shared" si="2"/>
        <v>0</v>
      </c>
      <c r="AM13" s="905">
        <f t="shared" si="2"/>
        <v>0</v>
      </c>
      <c r="AN13" s="905">
        <f t="shared" si="2"/>
        <v>0</v>
      </c>
      <c r="AO13" s="901">
        <f>IF(ISNUMBER(((NºAsuntos!I13/NºAsuntos!G13)*11)/factor_trimestre),((NºAsuntos!I13/NºAsuntos!G13)*11)/factor_trimestre," - ")</f>
        <v>11.804953560371517</v>
      </c>
      <c r="AP13" s="907" t="str">
        <f>IF(ISNUMBER(Datos!CI13/Datos!CJ13),Datos!CI13/Datos!CJ13," - ")</f>
        <v xml:space="preserve"> - </v>
      </c>
      <c r="AQ13" s="923">
        <f t="shared" ref="AQ13:AV13" si="3">SUBTOTAL(9,AQ9:AQ12)</f>
        <v>0</v>
      </c>
      <c r="AR13" s="923">
        <f t="shared" si="3"/>
        <v>-0.15071713004644996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1949</v>
      </c>
      <c r="G15" s="224">
        <f>IF(ISNUMBER(IF(D_I="SI",Datos!I15,Datos!I15+Datos!AC15)),IF(D_I="SI",Datos!I15,Datos!I15+Datos!AC15)," - ")</f>
        <v>1589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2601</v>
      </c>
      <c r="Z15" s="617">
        <f>IF(ISNUMBER(Datos!Q15),Datos!Q15," - ")</f>
        <v>108</v>
      </c>
      <c r="AA15" s="331">
        <f>IF(ISNUMBER(IF(D_I="SI",Datos!L15,Datos!L15+Datos!AF15)),IF(D_I="SI",Datos!L15,Datos!L15+Datos!AF15)," - ")</f>
        <v>1792</v>
      </c>
      <c r="AB15" s="333"/>
      <c r="AC15" s="333"/>
      <c r="AD15" s="483"/>
      <c r="AE15" s="483">
        <f>IF(ISNUMBER(Datos!R15),Datos!R15," - ")</f>
        <v>317</v>
      </c>
      <c r="AF15" s="228" t="str">
        <f>IF(ISNUMBER(Datos!BV15),Datos!BV15," - ")</f>
        <v xml:space="preserve"> - </v>
      </c>
      <c r="AG15" s="224"/>
      <c r="AH15" s="297"/>
      <c r="AI15" s="226"/>
      <c r="AJ15" s="224">
        <f>IF(ISNUMBER(Datos!M15),Datos!M15," - ")</f>
        <v>362</v>
      </c>
      <c r="AK15" s="228">
        <f>IF(ISNUMBER(Datos!N15),Datos!N15," - ")</f>
        <v>1377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2.0668973471741641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1</v>
      </c>
      <c r="G17" s="224">
        <f>IF(ISNUMBER(IF(D_I="SI",Datos!I17,Datos!I17+Datos!AC17)),IF(D_I="SI",Datos!I17,Datos!I17+Datos!AC17)," - ")</f>
        <v>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1</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282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272</v>
      </c>
      <c r="Z18" s="617">
        <f>IF(ISNUMBER(Datos!Q18),Datos!Q18," - ")</f>
        <v>0</v>
      </c>
      <c r="AA18" s="331">
        <f>IF(ISNUMBER(Datos!L18),Datos!L18,"-")</f>
        <v>315</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5</v>
      </c>
      <c r="AK18" s="228">
        <f>IF(ISNUMBER(Datos!N18),Datos!N18," - ")</f>
        <v>248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3.4742647058823533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1950</v>
      </c>
      <c r="G19" s="895">
        <f>SUBTOTAL(9,G15:G18)</f>
        <v>1874</v>
      </c>
      <c r="H19" s="927">
        <f>SUBTOTAL(9,H15:H18)</f>
        <v>0</v>
      </c>
      <c r="I19" s="908">
        <f>SUBTOTAL(9,I15:I18)</f>
        <v>0</v>
      </c>
      <c r="J19" s="864">
        <f>SUBTOTAL(9,J14:J18)</f>
        <v>0</v>
      </c>
      <c r="K19" s="927">
        <f t="shared" ref="K19:S19" si="4">SUBTOTAL(9,K15:K18)</f>
        <v>0</v>
      </c>
      <c r="L19" s="927">
        <f t="shared" si="4"/>
        <v>0</v>
      </c>
      <c r="M19" s="927">
        <f t="shared" si="4"/>
        <v>0</v>
      </c>
      <c r="N19" s="927">
        <f t="shared" si="4"/>
        <v>144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2873</v>
      </c>
      <c r="Z19" s="927">
        <f t="shared" si="5"/>
        <v>108</v>
      </c>
      <c r="AA19" s="927">
        <f t="shared" si="5"/>
        <v>2108</v>
      </c>
      <c r="AB19" s="927">
        <f t="shared" si="5"/>
        <v>0</v>
      </c>
      <c r="AC19" s="927">
        <f t="shared" si="5"/>
        <v>0</v>
      </c>
      <c r="AD19" s="927">
        <f t="shared" si="5"/>
        <v>0</v>
      </c>
      <c r="AE19" s="927">
        <f t="shared" si="5"/>
        <v>326</v>
      </c>
      <c r="AF19" s="927">
        <f t="shared" si="5"/>
        <v>0</v>
      </c>
      <c r="AG19" s="927">
        <f t="shared" si="5"/>
        <v>0</v>
      </c>
      <c r="AH19" s="927">
        <f t="shared" si="5"/>
        <v>0</v>
      </c>
      <c r="AI19" s="927">
        <f t="shared" si="5"/>
        <v>0</v>
      </c>
      <c r="AJ19" s="927">
        <f t="shared" si="5"/>
        <v>367</v>
      </c>
      <c r="AK19" s="927">
        <f t="shared" si="5"/>
        <v>1625</v>
      </c>
      <c r="AL19" s="927">
        <f t="shared" si="5"/>
        <v>0</v>
      </c>
      <c r="AM19" s="927">
        <f t="shared" si="5"/>
        <v>0</v>
      </c>
      <c r="AN19" s="927">
        <f t="shared" si="5"/>
        <v>0</v>
      </c>
      <c r="AO19" s="929">
        <f>IF(ISNUMBER(((NºAsuntos!I19/NºAsuntos!G19)*11)/factor_trimestre),((NºAsuntos!I19/NºAsuntos!G19)*11)/factor_trimestre," - ")</f>
        <v>2.2011834319526629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2065</v>
      </c>
      <c r="G20" s="817">
        <f t="shared" si="7"/>
        <v>1985</v>
      </c>
      <c r="H20" s="818">
        <f t="shared" si="7"/>
        <v>0</v>
      </c>
      <c r="I20" s="817">
        <f t="shared" si="7"/>
        <v>0</v>
      </c>
      <c r="J20" s="819">
        <f t="shared" si="7"/>
        <v>0</v>
      </c>
      <c r="K20" s="817">
        <f t="shared" si="7"/>
        <v>0</v>
      </c>
      <c r="L20" s="820">
        <f t="shared" si="7"/>
        <v>0</v>
      </c>
      <c r="M20" s="817">
        <f t="shared" si="7"/>
        <v>0</v>
      </c>
      <c r="N20" s="818">
        <f t="shared" si="7"/>
        <v>701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2904</v>
      </c>
      <c r="Z20" s="824">
        <f t="shared" si="8"/>
        <v>635</v>
      </c>
      <c r="AA20" s="825">
        <f t="shared" si="8"/>
        <v>2227</v>
      </c>
      <c r="AB20" s="825">
        <f t="shared" si="8"/>
        <v>0</v>
      </c>
      <c r="AC20" s="825">
        <f t="shared" si="8"/>
        <v>0</v>
      </c>
      <c r="AD20" s="826">
        <f t="shared" si="8"/>
        <v>0</v>
      </c>
      <c r="AE20" s="826">
        <f t="shared" si="8"/>
        <v>11071</v>
      </c>
      <c r="AF20" s="827">
        <f t="shared" si="8"/>
        <v>0</v>
      </c>
      <c r="AG20" s="828">
        <f t="shared" si="8"/>
        <v>0</v>
      </c>
      <c r="AH20" s="829">
        <f t="shared" si="8"/>
        <v>0</v>
      </c>
      <c r="AI20" s="827">
        <f t="shared" si="8"/>
        <v>0</v>
      </c>
      <c r="AJ20" s="817">
        <f t="shared" si="8"/>
        <v>1159</v>
      </c>
      <c r="AK20" s="817">
        <f t="shared" si="8"/>
        <v>3320</v>
      </c>
      <c r="AL20" s="817">
        <f t="shared" si="8"/>
        <v>0</v>
      </c>
      <c r="AM20" s="830">
        <f t="shared" si="8"/>
        <v>0</v>
      </c>
      <c r="AN20" s="820">
        <f>IF(ISNUMBER(Datos!K20/Datos!J20),Datos!K20/Datos!J20," - ")</f>
        <v>0.86422853555171875</v>
      </c>
      <c r="AO20" s="820">
        <f>IF(ISNUMBER(FIND("06",Criterios!A8,1)),(IF(ISNUMBER(((Datos!R20/Datos!Q20)*11)/factor_trimestre),((Datos!R20/Datos!Q20)*11)/factor_trimestre," - ")),(IF(ISNUMBER(((Datos!L20/Datos!K20)*11)/factor_trimestre),((Datos!L20/Datos!K20)*11)/factor_trimestre," - ")))</f>
        <v>7.2951325826371241</v>
      </c>
      <c r="AP20" s="831" t="str">
        <f>IF(ISNUMBER(Datos!CI20/Datos!CJ20),Datos!CI20/Datos!CJ20," - ")</f>
        <v xml:space="preserve"> - </v>
      </c>
      <c r="AQ20" s="831">
        <f>IF(OR(ISNUMBER(FIND("01",Criterios!A8,1)),ISNUMBER(FIND("02",Criterios!A8,1)),ISNUMBER(FIND("03",Criterios!A8,1)),ISNUMBER(FIND("04",Criterios!A8,1))),(J20-Y20+K20)/(F20-K20),(I20-Y20+K20)/(F20-K20))</f>
        <v>-1.4062953995157386</v>
      </c>
      <c r="AR20" s="831">
        <f>IF(ISNUMBER((Datos!P20-Datos!Q20+O20)/(Datos!R20-Datos!P20+Datos!Q20-O20)),(Datos!P20-Datos!Q20+O20)/(Datos!R20-Datos!P20+Datos!Q20-O20)," - ")</f>
        <v>5.9972739663789187E-3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661.66666666666663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1026.6659632032222</v>
      </c>
      <c r="G22" s="551">
        <f>IF(ISNUMBER(STDEV(G8:G19)),STDEV(G8:G19),"-")</f>
        <v>838.35020526428377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353.07290492258988</v>
      </c>
      <c r="AK22" s="251"/>
      <c r="AL22" s="251">
        <f>IF(ISNUMBER(STDEV(AL8:AL19)),STDEV(AL8:AL19),"-")</f>
        <v>0</v>
      </c>
      <c r="AM22" s="253">
        <f>IF(ISNUMBER(STDEV(AM8:AM19)),STDEV(AM8:AM19),"-")</f>
        <v>0</v>
      </c>
      <c r="AN22" s="538">
        <f>IF(ISNUMBER(STDEV(AN8:AN19)),STDEV(AN8:AN19),"-")</f>
        <v>0</v>
      </c>
      <c r="AO22" s="539">
        <f>IF(ISNUMBER(STDEV(AO8:AO19)),STDEV(AO8:AO19),"-")</f>
        <v>5.0253134000213837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02T5pW29mgQHf4mgfJiizUaqV4kG9w9RZRyKQbjVbPdl74hEW34zsGYwk/0bvtYa/EVyTDyJ/cZFzvwp9KQQg==" saltValue="gnNt0snN8vHzmwcrD3Ul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u/vTXZPqZaoUpC2/dE+s7O4hZr0a/d7yijJ+6t4wYc0xcFWu33PRZM+6rUwfoMJy2tTW8C57QB7lFT1iaV11A==" saltValue="rJkkBqNiYpN9OS9EoZWr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ybEwVrHrrZ8FwuGhvuibO2niNFM/5Tkj4U1m7EeqkVe9/pOEXKwZGaXFmUCxmhiVquActbcl0sPZKGNjB5PhA==" saltValue="2Umr1Ae5qyREDNRRdSL44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TORREJON DE ARDOZ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0.27244582043343651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0.19264828713441542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FQ0sTObNTZR+Ctea203hu24TxuAnWD08POg/c7lHzf0o2YtFV3j51w2aRk2YRg5rTt1lpsvX9ef64AvxW/l6w==" saltValue="Zm3mWgDltJGuYfT9Chd5C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qthK4gpB2ArZakU4eZ1pAMGDnZp6McdsB+o0/wxRvUzARauVk1UIp2HCChmSGkx4sTqIfDOALW/a2cg1CFZhg==" saltValue="p9ldW0CYp5pBFH9HKivV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TORREJON DE ARDOZ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10505</v>
      </c>
      <c r="D9" s="403">
        <f>IF(ISNUMBER(C9/Datos!BH9),C9/Datos!BH9," - ")</f>
        <v>1750.8333333333333</v>
      </c>
      <c r="E9" s="402">
        <f>IF(ISNUMBER(IF(J_V="SI",Datos!J9,Datos!J9+Datos!Z9)),IF(J_V="SI",Datos!J9,Datos!J9+Datos!Z9)," - ")</f>
        <v>3846</v>
      </c>
      <c r="F9" s="403">
        <f>IF(ISNUMBER(E9/B9),E9/B9," - ")</f>
        <v>641</v>
      </c>
      <c r="G9" s="402">
        <f>IF(ISNUMBER(IF(J_V="SI",Datos!K9,Datos!K9+Datos!AA9)),IF(J_V="SI",Datos!K9,Datos!K9+Datos!AA9)," - ")</f>
        <v>2876</v>
      </c>
      <c r="H9" s="403">
        <f>IF(ISNUMBER(G9/B9),G9/B9," - ")</f>
        <v>479.33333333333331</v>
      </c>
      <c r="I9" s="402">
        <f>IF(ISNUMBER(IF(J_V="SI",Datos!L9,Datos!L9+Datos!AB9)),IF(J_V="SI",Datos!L9,Datos!L9+Datos!AB9)," - ")</f>
        <v>11320</v>
      </c>
      <c r="J9" s="403">
        <f>IF(ISNUMBER(I9/B9),I9/B9," - ")</f>
        <v>1886.6666666666667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111</v>
      </c>
      <c r="D10" s="403">
        <f>IF(ISNUMBER(C10/Datos!BH10),C10/Datos!BH10," - ")</f>
        <v>111</v>
      </c>
      <c r="E10" s="402">
        <f>IF(ISNUMBER(Datos!J10),Datos!J10," - ")</f>
        <v>35</v>
      </c>
      <c r="F10" s="403">
        <f>IF(ISNUMBER(E10/B10),E10/B10," - ")</f>
        <v>35</v>
      </c>
      <c r="G10" s="402">
        <f>IF(ISNUMBER(Datos!K10),Datos!K10," - ")</f>
        <v>31</v>
      </c>
      <c r="H10" s="403">
        <f>IF(ISNUMBER(G10/B10),G10/B10," - ")</f>
        <v>31</v>
      </c>
      <c r="I10" s="402">
        <f>IF(ISNUMBER(Datos!L10),Datos!L10," - ")</f>
        <v>119</v>
      </c>
      <c r="J10" s="403">
        <f>IF(ISNUMBER(I10/B10),I10/B10," - ")</f>
        <v>119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10616</v>
      </c>
      <c r="D13" s="847" t="str">
        <f>IF(ISNUMBER(C13/Datos!BI13),C13/Datos!BI13," - ")</f>
        <v xml:space="preserve"> - </v>
      </c>
      <c r="E13" s="846">
        <f>SUBTOTAL(9,E8:E12)</f>
        <v>3881</v>
      </c>
      <c r="F13" s="847">
        <f>IF(ISNUMBER(E13/B13),E13/B13," - ")</f>
        <v>554.42857142857144</v>
      </c>
      <c r="G13" s="846">
        <f>SUBTOTAL(9,G8:G12)</f>
        <v>2907</v>
      </c>
      <c r="H13" s="847">
        <f>IF(ISNUMBER(G13/B13),G13/B13," - ")</f>
        <v>415.28571428571428</v>
      </c>
      <c r="I13" s="846">
        <f>SUBTOTAL(9,I8:I12)</f>
        <v>11439</v>
      </c>
      <c r="J13" s="847">
        <f>IF(ISNUMBER(I13/B13),I13/B13," - ")</f>
        <v>1634.1428571428571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1589</v>
      </c>
      <c r="D15" s="403">
        <f>IF(ISNUMBER(C15/Datos!BH15),C15/Datos!BH15," - ")</f>
        <v>397.25</v>
      </c>
      <c r="E15" s="402">
        <f>IF(ISNUMBER(IF(D_I="SI",Datos!J15,Datos!J15+Datos!AD15)),IF(D_I="SI",Datos!J15,Datos!J15+Datos!AD15)," - ")</f>
        <v>2444</v>
      </c>
      <c r="F15" s="403">
        <f>IF(ISNUMBER(E15/B15),E15/B15," - ")</f>
        <v>611</v>
      </c>
      <c r="G15" s="402">
        <f>IF(ISNUMBER(IF(D_I="SI",Datos!K15,Datos!K15+Datos!AE15)),IF(D_I="SI",Datos!K15,Datos!K15+Datos!AE15)," - ")</f>
        <v>2601</v>
      </c>
      <c r="H15" s="403">
        <f>IF(ISNUMBER(G15/B15),G15/B15," - ")</f>
        <v>650.25</v>
      </c>
      <c r="I15" s="402">
        <f>IF(ISNUMBER(IF(D_I="SI",Datos!L15,Datos!L15+Datos!AF15)),IF(D_I="SI",Datos!L15,Datos!L15+Datos!AF15)," - ")</f>
        <v>1792</v>
      </c>
      <c r="J15" s="403">
        <f>IF(ISNUMBER(I15/B15),I15/B15," - ")</f>
        <v>448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3</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1</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282</v>
      </c>
      <c r="D18" s="403">
        <f>IF(ISNUMBER(C18/Datos!BH18),C18/Datos!BH18," - ")</f>
        <v>282</v>
      </c>
      <c r="E18" s="402">
        <f>IF(ISNUMBER(IF(D_I="SI",Datos!J18,Datos!J18+Datos!AD18)),IF(D_I="SI",Datos!J18,Datos!J18+Datos!AD18)," - ")</f>
        <v>293</v>
      </c>
      <c r="F18" s="403">
        <f>IF(ISNUMBER(E18/B18),E18/B18," - ")</f>
        <v>293</v>
      </c>
      <c r="G18" s="402">
        <f>IF(ISNUMBER(IF(D_I="SI",Datos!K18,Datos!K18+Datos!AE18)),IF(D_I="SI",Datos!K18,Datos!K18+Datos!AE18)," - ")</f>
        <v>272</v>
      </c>
      <c r="H18" s="403">
        <f>IF(ISNUMBER(G18/B18),G18/B18," - ")</f>
        <v>272</v>
      </c>
      <c r="I18" s="402">
        <f>IF(ISNUMBER(IF(D_I="SI",Datos!L18,Datos!L18+Datos!AF18)),IF(D_I="SI",Datos!L18,Datos!L18+Datos!AF18)," - ")</f>
        <v>315</v>
      </c>
      <c r="J18" s="403">
        <f>IF(ISNUMBER(I18/B18),I18/B18," - ")</f>
        <v>315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1874</v>
      </c>
      <c r="D19" s="847" t="str">
        <f>IF(ISNUMBER(C19/Datos!BI19),C19/Datos!BI19," - ")</f>
        <v xml:space="preserve"> - </v>
      </c>
      <c r="E19" s="846">
        <f>SUBTOTAL(9,E14:E18)</f>
        <v>2737</v>
      </c>
      <c r="F19" s="847">
        <f>IF(ISNUMBER(E19/B19),E19/B19," - ")</f>
        <v>547.4</v>
      </c>
      <c r="G19" s="846">
        <f>SUBTOTAL(9,G14:G18)</f>
        <v>2873</v>
      </c>
      <c r="H19" s="847">
        <f>IF(ISNUMBER(G19/B19),G19/B19," - ")</f>
        <v>574.6</v>
      </c>
      <c r="I19" s="846">
        <f>SUBTOTAL(9,I14:I18)</f>
        <v>2108</v>
      </c>
      <c r="J19" s="847">
        <f>IF(ISNUMBER(I19/B19),I19/B19," - ")</f>
        <v>421.6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11</v>
      </c>
      <c r="C20" s="791">
        <f>SUBTOTAL(9,C9:C19)</f>
        <v>12490</v>
      </c>
      <c r="D20" s="792" t="str">
        <f>IF(ISNUMBER(C20/Datos!BI20),C20/Datos!BI20," - ")</f>
        <v xml:space="preserve"> - </v>
      </c>
      <c r="E20" s="791">
        <f>SUBTOTAL(9,E9:E19)</f>
        <v>6618</v>
      </c>
      <c r="F20" s="792">
        <f>IF(ISNUMBER(E20/B20),E20/B20," - ")</f>
        <v>601.63636363636363</v>
      </c>
      <c r="G20" s="791">
        <f>SUBTOTAL(9,G9:G19)</f>
        <v>5780</v>
      </c>
      <c r="H20" s="792">
        <f>IF(ISNUMBER(G20/B20),G20/B20," - ")</f>
        <v>525.4545454545455</v>
      </c>
      <c r="I20" s="791">
        <f>SUBTOTAL(9,I9:I19)</f>
        <v>13547</v>
      </c>
      <c r="J20" s="792">
        <f>IF(ISNUMBER(I20/B20),I20/B20," - ")</f>
        <v>1231.5454545454545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AjSdk7YlO3y5W+YuPds3kXuGVvORGDCnVc+FN3OGXx0QVSJFpb3zYVx3F/rs8XWSFIVXmA7zdE6rtJOWoACkg==" saltValue="MNh6Twrr94q0kRKgKPEcq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TORREJON DE ARDOZ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115</v>
      </c>
      <c r="G10" s="681">
        <f>IF(ISNUMBER(Datos!I10),Datos!I10," - ")</f>
        <v>111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31</v>
      </c>
      <c r="AC10" s="680" t="str">
        <f>IF(ISNUMBER(IF(D_I="SI",DatosP!K18,DatosP!K18+DatosP!AE18)),IF(D_I="SI",DatosP!K18,DatosP!K18+DatosP!AE18)," - ")</f>
        <v xml:space="preserve"> - </v>
      </c>
      <c r="AD10" s="682"/>
      <c r="AE10" s="682"/>
      <c r="AF10" s="685">
        <f>IF(ISNUMBER(Datos!L10),Datos!L10,"-")</f>
        <v>119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22</v>
      </c>
      <c r="AN10" s="687">
        <f>IF(ISNUMBER(Datos!BW10+DatosP!BW18),Datos!BW10+DatosP!BW18," - ")</f>
        <v>0</v>
      </c>
      <c r="AO10" s="688">
        <f>IF(ISNUMBER(Datos!BX10+DatosP!BX18),Datos!BX10+DatosP!BX18," - ")</f>
        <v>0</v>
      </c>
      <c r="AP10" s="690">
        <f>IF(ISNUMBER(((Datos!L10/Datos!K10)*11)/factor_trimestre),((Datos!L10/Datos!K10)*11)/factor_trimestre," - ")</f>
        <v>11.516129032258066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115</v>
      </c>
      <c r="G13" s="933">
        <f t="shared" si="0"/>
        <v>111</v>
      </c>
      <c r="H13" s="933">
        <f t="shared" si="0"/>
        <v>0</v>
      </c>
      <c r="I13" s="935">
        <f t="shared" si="0"/>
        <v>0</v>
      </c>
      <c r="J13" s="934">
        <f t="shared" si="0"/>
        <v>0</v>
      </c>
      <c r="K13" s="934">
        <f t="shared" si="0"/>
        <v>0</v>
      </c>
      <c r="L13" s="936">
        <f t="shared" si="0"/>
        <v>0</v>
      </c>
      <c r="M13" s="936">
        <f t="shared" si="0"/>
        <v>0</v>
      </c>
      <c r="N13" s="934">
        <f t="shared" si="0"/>
        <v>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31</v>
      </c>
      <c r="AC13" s="934">
        <f t="shared" si="1"/>
        <v>0</v>
      </c>
      <c r="AD13" s="934">
        <f t="shared" si="1"/>
        <v>0</v>
      </c>
      <c r="AE13" s="934">
        <f t="shared" si="1"/>
        <v>0</v>
      </c>
      <c r="AF13" s="934">
        <f t="shared" si="1"/>
        <v>119</v>
      </c>
      <c r="AG13" s="934">
        <f t="shared" si="1"/>
        <v>0</v>
      </c>
      <c r="AH13" s="934">
        <f t="shared" si="1"/>
        <v>0</v>
      </c>
      <c r="AI13" s="934">
        <f t="shared" si="1"/>
        <v>0</v>
      </c>
      <c r="AJ13" s="934">
        <f t="shared" si="1"/>
        <v>0</v>
      </c>
      <c r="AK13" s="934">
        <f t="shared" si="1"/>
        <v>0</v>
      </c>
      <c r="AL13" s="934">
        <f t="shared" si="1"/>
        <v>3</v>
      </c>
      <c r="AM13" s="934">
        <f t="shared" si="1"/>
        <v>22</v>
      </c>
      <c r="AN13" s="934">
        <f t="shared" si="1"/>
        <v>0</v>
      </c>
      <c r="AO13" s="934">
        <f t="shared" si="1"/>
        <v>0</v>
      </c>
      <c r="AP13" s="939">
        <f>IF(ISNUMBER(((Datos!L13/Datos!K13)*11)/factor_trimestre),((Datos!L13/Datos!K13)*11)/factor_trimestre," - ")</f>
        <v>12.853399164451197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-0.26956521739130435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2.2011834319526629</v>
      </c>
      <c r="AQ19" s="939">
        <f>IF(ISNUMBER(((Datos!M19/Datos!L19)*11)/factor_trimestre),((Datos!M19/Datos!L19)*11)/factor_trimestre," - ")</f>
        <v>0.52229601518026569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0.12413793103448276</v>
      </c>
      <c r="AW19" s="941">
        <f>IF(ISNUMBER((Datos!Q19-Datos!R19)/(Datos!S19-Datos!Q19+Datos!R19)),(Datos!Q19-Datos!R19)/(Datos!S19-Datos!Q19+Datos!R19)," - ")</f>
        <v>-0.11714132186996239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115</v>
      </c>
      <c r="G20" s="946">
        <f t="shared" si="4"/>
        <v>111</v>
      </c>
      <c r="H20" s="946">
        <f t="shared" si="4"/>
        <v>0</v>
      </c>
      <c r="I20" s="947">
        <f t="shared" si="4"/>
        <v>0</v>
      </c>
      <c r="J20" s="948">
        <f t="shared" si="4"/>
        <v>0</v>
      </c>
      <c r="K20" s="948">
        <f t="shared" si="4"/>
        <v>0</v>
      </c>
      <c r="L20" s="948">
        <f t="shared" si="4"/>
        <v>0</v>
      </c>
      <c r="M20" s="948">
        <f t="shared" si="4"/>
        <v>0</v>
      </c>
      <c r="N20" s="947">
        <f t="shared" si="4"/>
        <v>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31</v>
      </c>
      <c r="AC20" s="952">
        <f t="shared" si="5"/>
        <v>0</v>
      </c>
      <c r="AD20" s="952">
        <f t="shared" si="5"/>
        <v>0</v>
      </c>
      <c r="AE20" s="952">
        <f t="shared" si="5"/>
        <v>0</v>
      </c>
      <c r="AF20" s="953">
        <f t="shared" si="5"/>
        <v>119</v>
      </c>
      <c r="AG20" s="953">
        <f t="shared" si="5"/>
        <v>0</v>
      </c>
      <c r="AH20" s="953">
        <f t="shared" si="5"/>
        <v>0</v>
      </c>
      <c r="AI20" s="953">
        <f t="shared" si="5"/>
        <v>0</v>
      </c>
      <c r="AJ20" s="954">
        <f t="shared" si="5"/>
        <v>0</v>
      </c>
      <c r="AK20" s="954">
        <f t="shared" si="5"/>
        <v>0</v>
      </c>
      <c r="AL20" s="946">
        <f t="shared" si="5"/>
        <v>3</v>
      </c>
      <c r="AM20" s="946">
        <f t="shared" si="5"/>
        <v>22</v>
      </c>
      <c r="AN20" s="946">
        <f t="shared" si="5"/>
        <v>0</v>
      </c>
      <c r="AO20" s="946">
        <f t="shared" si="5"/>
        <v>0</v>
      </c>
      <c r="AP20" s="946">
        <f>IF(ISNUMBER(((Datos!L20/Datos!K20)*11)/factor_trimestre),((Datos!L20/Datos!K20)*11)/factor_trimestre," - ")</f>
        <v>7.2951325826371241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-0.26956521739130435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5.9972739663789187E-3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66.395280956806971</v>
      </c>
      <c r="G22" s="734">
        <f>IF(ISNUMBER(STDEV(G8:G19)),STDEV(G8:G19),"-")</f>
        <v>64.085879880048466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17.897858344878401</v>
      </c>
      <c r="AC22" s="735">
        <f>IF(ISNUMBER(STDEV(AC8:AC19)),STDEV(AC8:AC19),"-")</f>
        <v>0</v>
      </c>
      <c r="AD22" s="738"/>
      <c r="AE22" s="738"/>
      <c r="AF22" s="738"/>
      <c r="AG22" s="738"/>
      <c r="AH22" s="738"/>
      <c r="AI22" s="738"/>
      <c r="AJ22" s="739">
        <f>IF(ISNUMBER(STDEV(AJ8:AJ19)),STDEV(AJ8:AJ19),"-")</f>
        <v>0</v>
      </c>
      <c r="AK22" s="741"/>
      <c r="AL22" s="733">
        <f>IF(ISNUMBER(STDEV(AL8:AL19)),STDEV(AL8:AL19),"-")</f>
        <v>1.7320508075688772</v>
      </c>
      <c r="AM22" s="733"/>
      <c r="AN22" s="733">
        <f>IF(ISNUMBER(STDEV(AN8:AN19)),STDEV(AN8:AN19),"-")</f>
        <v>0</v>
      </c>
      <c r="AO22" s="739">
        <f>IF(ISNUMBER(STDEV(AO8:AO19)),STDEV(AO8:AO19),"-")</f>
        <v>0</v>
      </c>
      <c r="AP22" s="776">
        <f>IF(ISNUMBER(STDEV(AP8:AP19)),STDEV(AP8:AP19),"-")</f>
        <v>5.8026747130783605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Qo+ze7gqkcna0Y2O783UVrKj8Abak+WiYAK4w5hEuf+s4y+5y8eHtm5yg1gaUtTlP4ksYaldo1H3psA+wTrjQ==" saltValue="hGz4DSu9wRnHrBvtrVDn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TORREJON DE ARDOZ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247</v>
      </c>
      <c r="O9" s="333"/>
      <c r="P9" s="333"/>
      <c r="Q9" s="225">
        <f>IF(ISNUMBER(Datos!P9),Datos!P9,0)</f>
        <v>555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512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158</v>
      </c>
      <c r="AI9" s="224" t="str">
        <f>IF(ISNUMBER(Datos!CD9),Datos!CD9,"-")</f>
        <v>-</v>
      </c>
      <c r="AJ9" s="1214" t="str">
        <f>IF(ISNUMBER(Datos!EN9),Datos!EN9," - ")</f>
        <v xml:space="preserve"> - </v>
      </c>
      <c r="AK9" s="333"/>
      <c r="AL9" s="478"/>
      <c r="AM9" s="1214">
        <f>IF(ISNUMBER(Datos!R9),Datos!R9," - ")</f>
        <v>10674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789</v>
      </c>
      <c r="BD9" s="228">
        <f>IF(ISNUMBER(Datos!N9),Datos!N9," - ")</f>
        <v>1673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0.74778991159646391</v>
      </c>
      <c r="BH9" s="1214">
        <f>IF(ISNUMBER(((IF(J_V="SI",Datos!L9/Datos!K9,(Datos!L9+Datos!AB9)/(Datos!K9+Datos!AA9)))*11)/factor_trimestre),((IF(J_V="SI",Datos!L9/Datos!K9,(Datos!L9+Datos!AB9)/(Datos!K9+Datos!AA9)))*11)/factor_trimestre," - ")</f>
        <v>11.808066759388041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4.0447747154548023E-3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917.13194358670012</v>
      </c>
      <c r="CF9" s="228">
        <f ca="1">AVERAGEIFS($AB:$AB,$BW:$BW,BW9,$BX:$BX,BX9)</f>
        <v>917.13194358670012</v>
      </c>
      <c r="CG9" s="1191">
        <v>0.7</v>
      </c>
      <c r="CH9" s="1191">
        <f ca="1">AVERAGEIF($BW:$BW,$BW9,$AC:$AC)</f>
        <v>173.18181818181819</v>
      </c>
      <c r="CI9" s="228">
        <f ca="1">AVERAGEIFS($AC:$AC,$BW:$BW,$BW9,$BX:$BX,$BX9)</f>
        <v>173.18181818181819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668.1</v>
      </c>
      <c r="CR9" s="228">
        <f ca="1">AVERAGEIFS($AF:$AF,$BW:$BW,BW9,$BX:$BX,BX9)</f>
        <v>668.1</v>
      </c>
      <c r="CS9" s="1191">
        <v>1.3</v>
      </c>
      <c r="CT9" s="1191">
        <v>1.5</v>
      </c>
      <c r="CU9" s="1191">
        <f ca="1">AVERAGEIF($BW:$BW,$BW9,$AH:$AH)</f>
        <v>67.714285714285708</v>
      </c>
      <c r="CV9" s="228">
        <f ca="1">AVERAGEIFS($AH:$AH,$BW:$BW,$BW9,$BX:$BX,$BX9)</f>
        <v>67.714285714285708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3019.3636363636365</v>
      </c>
      <c r="DH9" s="1218">
        <f ca="1">AVERAGEIFS($AM:$AM,$BW:$BW,$BW9,$BX:$BX,$BX9)</f>
        <v>3019.3636363636365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5.1317026789316236</v>
      </c>
      <c r="ER9" s="1218">
        <f ca="1">AVERAGEIFS($BH:$BH,$BW:$BW,$BW9,$BX:$BX,$BX9)</f>
        <v>5.1317026789316236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115</v>
      </c>
      <c r="G10" s="332">
        <f>IF(ISNUMBER(Datos!I10),Datos!I10," - ")</f>
        <v>111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31</v>
      </c>
      <c r="AC10" s="224">
        <f>IF(ISNUMBER(Datos!Q10),Datos!Q10," - ")</f>
        <v>15</v>
      </c>
      <c r="AD10" s="224"/>
      <c r="AE10" s="224"/>
      <c r="AF10" s="224">
        <f>IF(ISNUMBER(Datos!L10),Datos!L10,"-")</f>
        <v>119</v>
      </c>
      <c r="AG10" s="333"/>
      <c r="AH10" s="224"/>
      <c r="AI10" s="224"/>
      <c r="AJ10" s="1214"/>
      <c r="AK10" s="333"/>
      <c r="AL10" s="478"/>
      <c r="AM10" s="1214">
        <f>IF(ISNUMBER(Datos!R10),Datos!R10," - ")</f>
        <v>71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22</v>
      </c>
      <c r="BE10" s="1214" t="str">
        <f>IF(ISNUMBER(Datos!BW10),Datos!BW10," - ")</f>
        <v xml:space="preserve"> - </v>
      </c>
      <c r="BF10" s="1214" t="str">
        <f>IF(ISNUMBER(Datos!BX10),Datos!BX10," - ")</f>
        <v xml:space="preserve"> - </v>
      </c>
      <c r="BG10" s="242">
        <f>IF(ISNUMBER(Datos!K10/Datos!J10),Datos!K10/Datos!J10," - ")</f>
        <v>0.88571428571428568</v>
      </c>
      <c r="BH10" s="1214">
        <f>IF(ISNUMBER(((Datos!L10/Datos!K10)*11)/factor_trimestre),((Datos!L10/Datos!K10)*11)/factor_trimestre," - ")</f>
        <v>11.516129032258066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-0.15476190476190477</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917.13194358670012</v>
      </c>
      <c r="CF10" s="228">
        <f ca="1">AVERAGEIFS($AB:$AB,$BW:$BW,BW10,$BX:$BX,BX10)</f>
        <v>917.13194358670012</v>
      </c>
      <c r="CG10" s="1191">
        <v>0.7</v>
      </c>
      <c r="CH10" s="1191">
        <f ca="1">AVERAGEIF($BW:$BW,BW10,$AC:$AC)</f>
        <v>173.18181818181819</v>
      </c>
      <c r="CI10" s="228">
        <f ca="1">AVERAGEIFS($AC:$AC,$BW:$BW,BW10,$BX:$BX,BX10)</f>
        <v>173.18181818181819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668.1</v>
      </c>
      <c r="CR10" s="228">
        <f ca="1">AVERAGEIFS($AF:$AF,$BW:$BW,BW10,$BX:$BX,BX10)</f>
        <v>668.1</v>
      </c>
      <c r="CS10" s="1191">
        <v>1.3</v>
      </c>
      <c r="CT10" s="1191">
        <v>1.5</v>
      </c>
      <c r="CU10" s="1191">
        <f ca="1">AVERAGEIF($BW:$BW,$BW10,$AH:$AH)</f>
        <v>67.714285714285708</v>
      </c>
      <c r="CV10" s="228">
        <f ca="1">AVERAGEIFS($AH:$AH,$BW:$BW,$BW10,$BX:$BX,$BX10)</f>
        <v>67.714285714285708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3019.3636363636365</v>
      </c>
      <c r="DH10" s="1218">
        <f ca="1">AVERAGEIFS($AM:$AM,$BW:$BW,$BW10,$BX:$BX,$BX10)</f>
        <v>3019.3636363636365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5.1317026789316236</v>
      </c>
      <c r="ER10" s="1218">
        <f ca="1">AVERAGEIFS($BH:$BH,$BW:$BW,$BW10,$BX:$BX,$BX10)</f>
        <v>5.1317026789316236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917.13194358670012</v>
      </c>
      <c r="CF11" s="228">
        <f ca="1">AVERAGEIFS($AB:$AB,$BW:$BW,BW11,$BX:$BX,BX11)</f>
        <v>917.13194358670012</v>
      </c>
      <c r="CG11" s="1191">
        <v>0.7</v>
      </c>
      <c r="CH11" s="1191">
        <f ca="1">AVERAGEIF($BW:$BW,BW11,$AC:$AC)</f>
        <v>173.18181818181819</v>
      </c>
      <c r="CI11" s="228">
        <f ca="1">AVERAGEIFS($AC:$AC,$BW:$BW,BW11,$BX:$BX,BX11)</f>
        <v>173.18181818181819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668.1</v>
      </c>
      <c r="CR11" s="228">
        <f ca="1">AVERAGEIFS($AF:$AF,$BW:$BW,BW11,$BX:$BX,BX11)</f>
        <v>668.1</v>
      </c>
      <c r="CS11" s="1191">
        <v>1.3</v>
      </c>
      <c r="CT11" s="1191">
        <v>1.5</v>
      </c>
      <c r="CU11" s="1191">
        <f ca="1">AVERAGEIF($BW:$BW,$BW11,$AH:$AH)</f>
        <v>67.714285714285708</v>
      </c>
      <c r="CV11" s="228">
        <f ca="1">AVERAGEIFS($AH:$AH,$BW:$BW,$BW11,$BX:$BX,$BX11)</f>
        <v>67.714285714285708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3019.3636363636365</v>
      </c>
      <c r="DH11" s="1218">
        <f ca="1">AVERAGEIFS($AM:$AM,$BW:$BW,$BW11,$BX:$BX,$BX11)</f>
        <v>3019.3636363636365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5.1317026789316236</v>
      </c>
      <c r="ER11" s="1218">
        <f ca="1">AVERAGEIFS($BH:$BH,$BW:$BW,$BW11,$BX:$BX,$BX11)</f>
        <v>5.1317026789316236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917.13194358670012</v>
      </c>
      <c r="CF12" s="228">
        <f ca="1">AVERAGEIFS($AB:$AB,$BW:$BW,BW12,$BX:$BX,BX12)</f>
        <v>917.13194358670012</v>
      </c>
      <c r="CG12" s="1191">
        <v>0.7</v>
      </c>
      <c r="CH12" s="1191">
        <f ca="1">AVERAGEIF($BW:$BW,BW12,$AC:$AC)</f>
        <v>173.18181818181819</v>
      </c>
      <c r="CI12" s="228">
        <f ca="1">AVERAGEIFS($AC:$AC,$BW:$BW,BW12,$BX:$BX,BX12)</f>
        <v>173.18181818181819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668.1</v>
      </c>
      <c r="CR12" s="228">
        <f ca="1">AVERAGEIFS($AF:$AF,$BW:$BW,BW12,$BX:$BX,BX12)</f>
        <v>668.1</v>
      </c>
      <c r="CS12" s="1191">
        <v>1.3</v>
      </c>
      <c r="CT12" s="1191">
        <v>1.5</v>
      </c>
      <c r="CU12" s="1191">
        <f ca="1">AVERAGEIF($BW:$BW,$BW12,$AH:$AH)</f>
        <v>67.714285714285708</v>
      </c>
      <c r="CV12" s="228">
        <f ca="1">AVERAGEIFS($AH:$AH,$BW:$BW,$BW12,$BX:$BX,$BX12)</f>
        <v>67.714285714285708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3019.3636363636365</v>
      </c>
      <c r="DH12" s="1218">
        <f ca="1">AVERAGEIFS($AM:$AM,$BW:$BW,$BW12,$BX:$BX,$BX12)</f>
        <v>3019.3636363636365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5.1317026789316236</v>
      </c>
      <c r="ER12" s="1218">
        <f ca="1">AVERAGEIFS($BH:$BH,$BW:$BW,$BW12,$BX:$BX,$BX12)</f>
        <v>5.1317026789316236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115</v>
      </c>
      <c r="G13" s="895">
        <f t="shared" si="1"/>
        <v>111</v>
      </c>
      <c r="H13" s="896">
        <f t="shared" si="1"/>
        <v>0</v>
      </c>
      <c r="I13" s="895">
        <f t="shared" si="1"/>
        <v>0</v>
      </c>
      <c r="J13" s="864">
        <f t="shared" si="1"/>
        <v>0</v>
      </c>
      <c r="K13" s="864">
        <f t="shared" si="1"/>
        <v>0</v>
      </c>
      <c r="L13" s="896">
        <f t="shared" si="1"/>
        <v>0</v>
      </c>
      <c r="M13" s="896">
        <f t="shared" si="1"/>
        <v>0</v>
      </c>
      <c r="N13" s="896">
        <f t="shared" si="1"/>
        <v>247</v>
      </c>
      <c r="O13" s="897">
        <f t="shared" si="1"/>
        <v>0</v>
      </c>
      <c r="P13" s="897">
        <f t="shared" si="1"/>
        <v>0</v>
      </c>
      <c r="Q13" s="896">
        <f t="shared" si="1"/>
        <v>557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31</v>
      </c>
      <c r="AC13" s="896">
        <f t="shared" si="2"/>
        <v>527</v>
      </c>
      <c r="AD13" s="896">
        <f t="shared" si="2"/>
        <v>0</v>
      </c>
      <c r="AE13" s="896">
        <f t="shared" si="2"/>
        <v>0</v>
      </c>
      <c r="AF13" s="896">
        <f t="shared" si="2"/>
        <v>119</v>
      </c>
      <c r="AG13" s="896">
        <f t="shared" si="2"/>
        <v>0</v>
      </c>
      <c r="AH13" s="896">
        <f t="shared" si="2"/>
        <v>158</v>
      </c>
      <c r="AI13" s="896">
        <f t="shared" si="2"/>
        <v>0</v>
      </c>
      <c r="AJ13" s="896">
        <f t="shared" si="2"/>
        <v>0</v>
      </c>
      <c r="AK13" s="896">
        <f t="shared" si="2"/>
        <v>0</v>
      </c>
      <c r="AL13" s="896">
        <f t="shared" si="2"/>
        <v>0</v>
      </c>
      <c r="AM13" s="896">
        <f t="shared" si="2"/>
        <v>10745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792</v>
      </c>
      <c r="BD13" s="896">
        <f t="shared" si="2"/>
        <v>1695</v>
      </c>
      <c r="BE13" s="896">
        <f t="shared" si="2"/>
        <v>0</v>
      </c>
      <c r="BF13" s="896">
        <f t="shared" si="2"/>
        <v>0</v>
      </c>
      <c r="BG13" s="896">
        <f>IF(ISNUMBER(Datos!K13/Datos!J13),Datos!K13/Datos!J13," - ")</f>
        <v>0.72454595487066598</v>
      </c>
      <c r="BH13" s="900">
        <f>IF(ISNUMBER(((Datos!L13/Datos!K13)*11)/factor_trimestre),((Datos!L13/Datos!K13)*11)/factor_trimestre," - ")</f>
        <v>12.853399164451197</v>
      </c>
      <c r="BI13" s="896">
        <f>IF(ISNUMBER('Resol  Asuntos'!D13/NºAsuntos!G13),'Resol  Asuntos'!D13/NºAsuntos!G13," - ")</f>
        <v>0.27244582043343651</v>
      </c>
      <c r="BJ13" s="896" t="str">
        <f>IF(ISNUMBER(Datos!CI13/Datos!CJ13),Datos!CI13/Datos!CJ13," - ")</f>
        <v xml:space="preserve"> - </v>
      </c>
      <c r="BK13" s="896">
        <f>SUBTOTAL(9,BK8:BK12)</f>
        <v>0</v>
      </c>
      <c r="BL13" s="896">
        <f>IF(ISNUMBER((I13-AB13+L13)/(F13)),(I13-AB13+L13)/(F13)," - ")</f>
        <v>-0.26956521739130435</v>
      </c>
      <c r="BM13" s="901">
        <f>SUBTOTAL(9,BM9:BM12)</f>
        <v>-0.15071713004644996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1949</v>
      </c>
      <c r="G15" s="596">
        <f>IF(ISNUMBER(IF(D_I="SI",Datos!I15,Datos!I15+Datos!AC15)),IF(D_I="SI",Datos!I15,Datos!I15+Datos!AC15)," - ")</f>
        <v>1589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144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2601</v>
      </c>
      <c r="AC15" s="224">
        <f>IF(ISNUMBER(Datos!Q15),Datos!Q15," - ")</f>
        <v>108</v>
      </c>
      <c r="AD15" s="224"/>
      <c r="AE15" s="224"/>
      <c r="AF15" s="224">
        <f>IF(ISNUMBER(IF(D_I="SI",Datos!L15,Datos!L15+Datos!AF15)),IF(D_I="SI",Datos!L15,Datos!L15+Datos!AF15)," - ")</f>
        <v>1792</v>
      </c>
      <c r="AG15" s="333"/>
      <c r="AH15" s="224"/>
      <c r="AI15" s="224"/>
      <c r="AJ15" s="1214"/>
      <c r="AK15" s="333"/>
      <c r="AL15" s="478"/>
      <c r="AM15" s="1214">
        <f>IF(ISNUMBER(Datos!R15),Datos!R15," - ")</f>
        <v>317</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362</v>
      </c>
      <c r="BD15" s="228">
        <f>IF(ISNUMBER(Datos!N15),Datos!N15," - ")</f>
        <v>1377</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1.0642389525368248</v>
      </c>
      <c r="BH15" s="1214">
        <f>IF(ISNUMBER(((IF(D_I="SI",Datos!L15/Datos!K15,(Datos!L15+Datos!AF15)/(Datos!K15+Datos!AE15)))*11)/factor_trimestre),((IF(D_I="SI",Datos!L15/Datos!K15,(Datos!L15+Datos!AF15)/(Datos!K15+Datos!AE15)))*11)/factor_trimestre," - ")</f>
        <v>2.0668973471741641</v>
      </c>
      <c r="BI15" s="242">
        <f>IF(ISNUMBER('Resol  Asuntos'!D15/NºAsuntos!G15),'Resol  Asuntos'!D15/NºAsuntos!G15," - ")</f>
        <v>0.13917723952326028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917.13194358670012</v>
      </c>
      <c r="CF15" s="228">
        <f ca="1">AVERAGEIFS($AB:$AB,$BW:$BW,BW15,$BX:$BX,BX15)</f>
        <v>917.13194358670012</v>
      </c>
      <c r="CG15" s="1191">
        <v>0.7</v>
      </c>
      <c r="CH15" s="1191">
        <f ca="1">AVERAGEIF($BW:$BW,BW15,$AC:$AC)</f>
        <v>173.18181818181819</v>
      </c>
      <c r="CI15" s="228">
        <f ca="1">AVERAGEIFS($AC:$AC,$BW:$BW,BW15,$BX:$BX,BX15)</f>
        <v>173.18181818181819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668.1</v>
      </c>
      <c r="CR15" s="228">
        <f ca="1">AVERAGEIFS($AF:$AF,$BW:$BW,BW15,$BX:$BX,BX15)</f>
        <v>668.1</v>
      </c>
      <c r="CS15" s="1191">
        <v>1.3</v>
      </c>
      <c r="CT15" s="1191">
        <v>1.5</v>
      </c>
      <c r="CU15" s="1191">
        <f ca="1">AVERAGEIF($BW:$BW,$BW15,$AH:$AH)</f>
        <v>67.714285714285708</v>
      </c>
      <c r="CV15" s="228">
        <f ca="1">AVERAGEIFS($AH:$AH,$BW:$BW,$BW15,$BX:$BX,$BX15)</f>
        <v>67.714285714285708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3019.3636363636365</v>
      </c>
      <c r="DH15" s="1218">
        <f ca="1">AVERAGEIFS($AM:$AM,$BW:$BW,$BW15,$BX:$BX,$BX15)</f>
        <v>3019.3636363636365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5.1317026789316236</v>
      </c>
      <c r="ER15" s="1218">
        <f ca="1">AVERAGEIFS($BH:$BH,$BW:$BW,$BW15,$BX:$BX,$BX15)</f>
        <v>5.1317026789316236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917.13194358670012</v>
      </c>
      <c r="CF16" s="1218">
        <f ca="1">AVERAGEIFS($AB:$AB,$BW:$BW,BW16,$BX:$BX,BX16)</f>
        <v>917.13194358670012</v>
      </c>
      <c r="CG16" s="1191">
        <v>0.7</v>
      </c>
      <c r="CH16" s="1191">
        <f ca="1">AVERAGEIF($BW:$BW,BW16,$AC:$AC)</f>
        <v>173.18181818181819</v>
      </c>
      <c r="CI16" s="1218">
        <f ca="1">AVERAGEIFS($AC:$AC,$BW:$BW,BW16,$BX:$BX,BX16)</f>
        <v>173.18181818181819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668.1</v>
      </c>
      <c r="CR16" s="1218">
        <f ca="1">AVERAGEIFS($AF:$AF,$BW:$BW,BW16,$BX:$BX,BX16)</f>
        <v>668.1</v>
      </c>
      <c r="CS16" s="1191">
        <v>1.3</v>
      </c>
      <c r="CT16" s="1191">
        <v>1.5</v>
      </c>
      <c r="CU16" s="1191">
        <f ca="1">AVERAGEIF($BW:$BW,$BW16,$AH:$AH)</f>
        <v>67.714285714285708</v>
      </c>
      <c r="CV16" s="1218">
        <f ca="1">AVERAGEIFS($AH:$AH,$BW:$BW,$BW16,$BX:$BX,$BX16)</f>
        <v>67.714285714285708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3019.3636363636365</v>
      </c>
      <c r="DH16" s="1218">
        <f ca="1">AVERAGEIFS($AM:$AM,$BW:$BW,$BW16,$BX:$BX,$BX16)</f>
        <v>3019.3636363636365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5.1317026789316236</v>
      </c>
      <c r="ER16" s="1218">
        <f ca="1">AVERAGEIFS($BH:$BH,$BW:$BW,$BW16,$BX:$BX,$BX16)</f>
        <v>5.1317026789316236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1</v>
      </c>
      <c r="G17" s="596">
        <f>IF(ISNUMBER(IF(D_I="SI",Datos!I17,Datos!I17+Datos!AC17)),IF(D_I="SI",Datos!I17,Datos!I17+Datos!AC17)," - ")</f>
        <v>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1</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917.13194358670012</v>
      </c>
      <c r="CF17" s="228">
        <f ca="1">AVERAGEIFS($AB:$AB,$BW:$BW,BW17,$BX:$BX,BX17)</f>
        <v>917.13194358670012</v>
      </c>
      <c r="CG17" s="1191">
        <v>0.7</v>
      </c>
      <c r="CH17" s="1191">
        <f ca="1">AVERAGEIF($BW:$BW,BW17,$AC:$AC)</f>
        <v>173.18181818181819</v>
      </c>
      <c r="CI17" s="228">
        <f ca="1">AVERAGEIFS($AC:$AC,$BW:$BW,BW17,$BX:$BX,BX17)</f>
        <v>173.18181818181819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668.1</v>
      </c>
      <c r="CR17" s="228">
        <f ca="1">AVERAGEIFS($AF:$AF,$BW:$BW,BW17,$BX:$BX,BX17)</f>
        <v>668.1</v>
      </c>
      <c r="CS17" s="1191">
        <v>1.3</v>
      </c>
      <c r="CT17" s="1191">
        <v>1.5</v>
      </c>
      <c r="CU17" s="1191">
        <f ca="1">AVERAGEIF($BW:$BW,$BW17,$AH:$AH)</f>
        <v>67.714285714285708</v>
      </c>
      <c r="CV17" s="228">
        <f ca="1">AVERAGEIFS($AH:$AH,$BW:$BW,$BW17,$BX:$BX,$BX17)</f>
        <v>67.714285714285708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3019.3636363636365</v>
      </c>
      <c r="DH17" s="1218">
        <f ca="1">AVERAGEIFS($AM:$AM,$BW:$BW,$BW17,$BX:$BX,$BX17)</f>
        <v>3019.3636363636365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5.1317026789316236</v>
      </c>
      <c r="ER17" s="1218">
        <f ca="1">AVERAGEIFS($BH:$BH,$BW:$BW,$BW17,$BX:$BX,$BX17)</f>
        <v>5.1317026789316236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282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272</v>
      </c>
      <c r="AC18" s="224">
        <f>IF(ISNUMBER(Datos!Q18),Datos!Q18," - ")</f>
        <v>0</v>
      </c>
      <c r="AD18" s="224"/>
      <c r="AE18" s="224"/>
      <c r="AF18" s="224">
        <f>IF(ISNUMBER(Datos!L18),Datos!L18,"-")</f>
        <v>315</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248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0.92832764505119458</v>
      </c>
      <c r="BH18" s="1214">
        <f>IF(ISNUMBER(((IF(D_I="SI",Datos!L18/Datos!K18,(Datos!L18+Datos!AF18)/(Datos!K18+Datos!AE18)))*11)/factor_trimestre),((IF(D_I="SI",Datos!L18/Datos!K18,(Datos!L18+Datos!AF18)/(Datos!K18+Datos!AE18)))*11)/factor_trimestre," - ")</f>
        <v>3.4742647058823533</v>
      </c>
      <c r="BI18" s="242">
        <f>IF(ISNUMBER('Resol  Asuntos'!D18/NºAsuntos!G18),'Resol  Asuntos'!D18/NºAsuntos!G18," - ")</f>
        <v>1.8382352941176471E-2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917.13194358670012</v>
      </c>
      <c r="CF18" s="228">
        <f ca="1">AVERAGEIFS($AB:$AB,$BW:$BW,BW18,$BX:$BX,BX18)</f>
        <v>917.13194358670012</v>
      </c>
      <c r="CG18" s="1191">
        <v>0.7</v>
      </c>
      <c r="CH18" s="1191">
        <f ca="1">AVERAGEIF($BW:$BW,BW18,$AC:$AC)</f>
        <v>173.18181818181819</v>
      </c>
      <c r="CI18" s="228">
        <f ca="1">AVERAGEIFS($AC:$AC,$BW:$BW,BW18,$BX:$BX,BX18)</f>
        <v>173.18181818181819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668.1</v>
      </c>
      <c r="CR18" s="228">
        <f ca="1">AVERAGEIFS($AF:$AF,$BW:$BW,BW18,$BX:$BX,BX18)</f>
        <v>668.1</v>
      </c>
      <c r="CS18" s="1191">
        <v>1.3</v>
      </c>
      <c r="CT18" s="1191">
        <v>1.5</v>
      </c>
      <c r="CU18" s="1191">
        <f ca="1">AVERAGEIF($BW:$BW,$BW18,$AH:$AH)</f>
        <v>67.714285714285708</v>
      </c>
      <c r="CV18" s="228">
        <f ca="1">AVERAGEIFS($AH:$AH,$BW:$BW,$BW18,$BX:$BX,$BX18)</f>
        <v>67.714285714285708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3019.3636363636365</v>
      </c>
      <c r="DH18" s="1218">
        <f ca="1">AVERAGEIFS($AM:$AM,$BW:$BW,$BW18,$BX:$BX,$BX18)</f>
        <v>3019.3636363636365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5.1317026789316236</v>
      </c>
      <c r="ER18" s="1218">
        <f ca="1">AVERAGEIFS($BH:$BH,$BW:$BW,$BW18,$BX:$BX,$BX18)</f>
        <v>5.1317026789316236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1950</v>
      </c>
      <c r="G19" s="895">
        <f>SUBTOTAL(9,G15:G18)</f>
        <v>1874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2873</v>
      </c>
      <c r="AC19" s="896">
        <f t="shared" si="5"/>
        <v>108</v>
      </c>
      <c r="AD19" s="896">
        <f t="shared" si="5"/>
        <v>0</v>
      </c>
      <c r="AE19" s="896">
        <f t="shared" si="5"/>
        <v>0</v>
      </c>
      <c r="AF19" s="896">
        <f t="shared" si="5"/>
        <v>2108</v>
      </c>
      <c r="AG19" s="896">
        <f t="shared" si="5"/>
        <v>0</v>
      </c>
      <c r="AH19" s="896">
        <f t="shared" si="5"/>
        <v>0</v>
      </c>
      <c r="AI19" s="896">
        <f t="shared" si="5"/>
        <v>0</v>
      </c>
      <c r="AJ19" s="896">
        <f t="shared" si="5"/>
        <v>0</v>
      </c>
      <c r="AK19" s="896">
        <f t="shared" si="5"/>
        <v>0</v>
      </c>
      <c r="AL19" s="896">
        <f t="shared" si="5"/>
        <v>0</v>
      </c>
      <c r="AM19" s="896">
        <f t="shared" si="5"/>
        <v>326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367</v>
      </c>
      <c r="BD19" s="896">
        <f t="shared" si="5"/>
        <v>1625</v>
      </c>
      <c r="BE19" s="896">
        <f t="shared" si="5"/>
        <v>0</v>
      </c>
      <c r="BF19" s="896">
        <f t="shared" si="5"/>
        <v>0</v>
      </c>
      <c r="BG19" s="896">
        <f>IF(ISNUMBER(Datos!K19/Datos!J19),Datos!K19/Datos!J19," - ")</f>
        <v>1.0496894409937889</v>
      </c>
      <c r="BH19" s="900">
        <f>IF(ISNUMBER(((Datos!L19/Datos!K19)*11)/factor_trimestre),((Datos!L19/Datos!K19)*11)/factor_trimestre," - ")</f>
        <v>2.2011834319526629</v>
      </c>
      <c r="BI19" s="896">
        <f>SUBTOTAL(9,BI15:BI18)</f>
        <v>0.15755959246443674</v>
      </c>
      <c r="BJ19" s="896">
        <f>SUBTOTAL(9,BJ15:BJ18)</f>
        <v>0</v>
      </c>
      <c r="BK19" s="896">
        <f>SUBTOTAL(9,BK15:BK18)</f>
        <v>0</v>
      </c>
      <c r="BL19" s="896">
        <f>IF(ISNUMBER((I19-AB19+L19)/(F19)),(I19-AB19+L19)/(F19)," - ")</f>
        <v>-1.4733333333333334</v>
      </c>
      <c r="BM19" s="902">
        <f>IF(ISNUMBER((Datos!P19-Datos!Q19)/(Datos!R19-Datos!P19+Datos!Q19)),(Datos!P19-Datos!Q19)/(Datos!R19-Datos!P19+Datos!Q19)," - ")</f>
        <v>0.12413793103448276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2065</v>
      </c>
      <c r="G20" s="817">
        <f t="shared" si="7"/>
        <v>1985</v>
      </c>
      <c r="H20" s="819">
        <f t="shared" si="7"/>
        <v>0</v>
      </c>
      <c r="I20" s="817">
        <f t="shared" si="7"/>
        <v>0</v>
      </c>
      <c r="J20" s="819">
        <f t="shared" si="7"/>
        <v>0</v>
      </c>
      <c r="K20" s="819">
        <f t="shared" si="7"/>
        <v>0</v>
      </c>
      <c r="L20" s="878">
        <f t="shared" si="7"/>
        <v>0</v>
      </c>
      <c r="M20" s="878">
        <f t="shared" si="7"/>
        <v>0</v>
      </c>
      <c r="N20" s="878">
        <f t="shared" si="7"/>
        <v>247</v>
      </c>
      <c r="O20" s="878">
        <f t="shared" si="7"/>
        <v>0</v>
      </c>
      <c r="P20" s="878">
        <f t="shared" si="7"/>
        <v>0</v>
      </c>
      <c r="Q20" s="819">
        <f t="shared" si="7"/>
        <v>701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2904</v>
      </c>
      <c r="AC20" s="818">
        <f t="shared" si="8"/>
        <v>635</v>
      </c>
      <c r="AD20" s="818">
        <f t="shared" si="8"/>
        <v>0</v>
      </c>
      <c r="AE20" s="818">
        <f t="shared" si="8"/>
        <v>0</v>
      </c>
      <c r="AF20" s="825">
        <f t="shared" si="8"/>
        <v>2227</v>
      </c>
      <c r="AG20" s="825">
        <f t="shared" si="8"/>
        <v>0</v>
      </c>
      <c r="AH20" s="825">
        <f t="shared" si="8"/>
        <v>158</v>
      </c>
      <c r="AI20" s="825">
        <f t="shared" si="8"/>
        <v>0</v>
      </c>
      <c r="AJ20" s="818">
        <f t="shared" si="8"/>
        <v>0</v>
      </c>
      <c r="AK20" s="825">
        <f t="shared" si="8"/>
        <v>0</v>
      </c>
      <c r="AL20" s="825">
        <f t="shared" si="8"/>
        <v>0</v>
      </c>
      <c r="AM20" s="825">
        <f t="shared" si="8"/>
        <v>11071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1159</v>
      </c>
      <c r="BD20" s="817">
        <f t="shared" si="8"/>
        <v>3320</v>
      </c>
      <c r="BE20" s="817">
        <f t="shared" si="8"/>
        <v>0</v>
      </c>
      <c r="BF20" s="827">
        <f t="shared" si="8"/>
        <v>0</v>
      </c>
      <c r="BG20" s="912">
        <f>IF(ISNUMBER(Datos!K20/Datos!J20),Datos!K20/Datos!J20," - ")</f>
        <v>0.86422853555171875</v>
      </c>
      <c r="BH20" s="912">
        <f>IF(ISNUMBER(((Datos!L20/Datos!K20)*11)/factor_trimestre),((Datos!L20/Datos!K20)*11)/factor_trimestre," - ")</f>
        <v>7.2951325826371241</v>
      </c>
      <c r="BI20" s="810">
        <f>IF(ISNUMBER(Datos!J20/Datos!I20),Datos!J20/Datos!I20," - ")</f>
        <v>0.52105994929254928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-1.4062953995157386</v>
      </c>
      <c r="BM20" s="886">
        <f>IF(ISNUMBER((Datos!P20-Datos!Q20+R20)/(Datos!R20-Datos!P20+Datos!Q20-R20)),(Datos!P20-Datos!Q20+R20)/(Datos!R20-Datos!P20+Datos!Q20-R20)," - ")</f>
        <v>5.9972739663789187E-3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661.66666666666663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2.7968235951204043</v>
      </c>
      <c r="F22" s="550">
        <f>IF(ISNUMBER(STDEV(F8:F19)),STDEV(F8:F19),"-")</f>
        <v>1026.6659632032222</v>
      </c>
      <c r="G22" s="551">
        <f>IF(ISNUMBER(STDEV(G8:G19)),STDEV(G8:G19),"-")</f>
        <v>838.35020526428377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1376.4513794537022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353.07290492258988</v>
      </c>
      <c r="BD22" s="550"/>
      <c r="BE22" s="550">
        <f>IF(ISNUMBER(STDEV(BE8:BE19)),STDEV(BE8:BE19),"-")</f>
        <v>0</v>
      </c>
      <c r="BF22" s="555">
        <f>IF(ISNUMBER(STDEV(BF8:BF19)),STDEV(BF8:BF19),"-")</f>
        <v>0</v>
      </c>
      <c r="BG22" s="772">
        <f>IF(ISNUMBER(STDEV(BG8:BG19)),STDEV(BG8:BG19),"-")</f>
        <v>0.14445754858838042</v>
      </c>
      <c r="BH22" s="773">
        <f>IF(ISNUMBER(STDEV(BH8:BH19)),STDEV(BH8:BH19),"-")</f>
        <v>5.2336564445042582</v>
      </c>
      <c r="BI22" s="248">
        <f>IF(ISNUMBER(STDEV(BI8:BI19)),STDEV(BI8:BI19),"-")</f>
        <v>0.10400609961050973</v>
      </c>
      <c r="BJ22" s="1415" t="str">
        <f>IF(ISNUMBER(BL22/BM22),BL22/BM22," - ")</f>
        <v xml:space="preserve"> - </v>
      </c>
      <c r="BK22" s="574"/>
      <c r="BL22" s="558">
        <f>IF(ISNUMBER(STDEV(BL8:BL19)),STDEV(BL8:BL19),"-")</f>
        <v>0.85119259775876277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ALxdCuDhuHNx1HPaKbMq12sGVtMwI8F7wOahyp5242iqXvvYvJCLlwM5ahhPkq5tG7+qH9P7QriW/g3Icz2AQ==" saltValue="ozgNOI6LHp9YGdg1OsAj6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TORREJON DE ARDOZ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0.27244582043343651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0.19264828713441542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4z1cR9y6pHLs2Hx5Rfq1zRx8yGtXOJZma6gBcZ+SxLP7t73jz+32v7qKfR/65MJ27yTUQRou9/pU/am6kcqSg==" saltValue="3waCDWogPNIxDrDLMn9NQ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TORREJON DE ARDOZ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dAVOimF9PiYd8ijN0lx1Bqb4ff7wELA9h2DmPRrhAvdeq9jAXtJApdxcKCqsfYsyjBILYuOrAbtJqKmX/xEJQ==" saltValue="4UDCIzSScWlBDZhuYPHs4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TORREJON DE ARDOZ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JE6hlR/6ruaKAEREUOPJYd7UT3tzyylIDRqXI70GeAzNaTjEfGPVxaXMt+e4qIC2f0TqE99ndBFJ+GJR6qRew==" saltValue="CwkTL8PsidPFr9AWWE8bS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TORREJON DE ARDOZ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789</v>
      </c>
      <c r="E9" s="403">
        <f t="shared" ref="E9:E13" si="0">IF(ISNUMBER(D9/B9),D9/B9," - ")</f>
        <v>131.5</v>
      </c>
      <c r="F9" s="402">
        <f>IF(ISNUMBER(Datos!N9),Datos!N9," - ")</f>
        <v>1673</v>
      </c>
      <c r="G9" s="403">
        <f t="shared" ref="G9:G13" si="1">IF(ISNUMBER(F9/B9),F9/B9," - ")</f>
        <v>278.83333333333331</v>
      </c>
      <c r="H9" s="402">
        <f>IF(ISNUMBER(Datos!O9),Datos!O9," - ")</f>
        <v>850</v>
      </c>
      <c r="I9" s="403">
        <f>IF(ISNUMBER(H9/B9),H9/B9," - ")</f>
        <v>141.66666666666666</v>
      </c>
      <c r="BZ9" s="1181">
        <f>Datos!EZ9</f>
        <v>0</v>
      </c>
    </row>
    <row r="10" spans="1:78">
      <c r="A10" s="401" t="str">
        <f>Datos!A10</f>
        <v>Sección De Violencia sobre la Mujer del TI</v>
      </c>
      <c r="B10" s="426">
        <f>Datos!AO10</f>
        <v>1</v>
      </c>
      <c r="C10" s="409">
        <f>Datos!AQ10</f>
        <v>1</v>
      </c>
      <c r="D10" s="402">
        <f>IF(ISNUMBER(Datos!M10),Datos!M10," - ")</f>
        <v>3</v>
      </c>
      <c r="E10" s="403">
        <f>IF(ISNUMBER(D10/B10),D10/B10," - ")</f>
        <v>3</v>
      </c>
      <c r="F10" s="402">
        <f>IF(ISNUMBER(Datos!N10),Datos!N10," - ")</f>
        <v>22</v>
      </c>
      <c r="G10" s="403">
        <f>IF(ISNUMBER(F10/B10),F10/B10," - ")</f>
        <v>22</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792</v>
      </c>
      <c r="E13" s="847">
        <f t="shared" si="0"/>
        <v>113.14285714285714</v>
      </c>
      <c r="F13" s="846">
        <f>SUBTOTAL(9,F9:F12)</f>
        <v>1695</v>
      </c>
      <c r="G13" s="847">
        <f t="shared" si="1"/>
        <v>242.14285714285714</v>
      </c>
      <c r="H13" s="846">
        <f>SUBTOTAL(9,H9:H12)</f>
        <v>852</v>
      </c>
      <c r="I13" s="847">
        <f>IF(ISNUMBER(H13/B13),H13/B13," - ")</f>
        <v>121.71428571428571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362</v>
      </c>
      <c r="E15" s="403">
        <f t="shared" ref="E15:E19" si="3">IF(ISNUMBER(D15/B15),D15/B15," - ")</f>
        <v>90.5</v>
      </c>
      <c r="F15" s="402">
        <f>IF(ISNUMBER(Datos!N15),Datos!N15," - ")</f>
        <v>1377</v>
      </c>
      <c r="G15" s="403">
        <f t="shared" ref="G15:G19" si="4">IF(ISNUMBER(F15/B15),F15/B15," - ")</f>
        <v>344.25</v>
      </c>
      <c r="H15" s="402">
        <f>IF(ISNUMBER(Datos!O15),Datos!O15," - ")</f>
        <v>54</v>
      </c>
      <c r="I15" s="403">
        <f t="shared" ref="I15:I18" si="5">IF(ISNUMBER(H15/B15),H15/B15," - ")</f>
        <v>13.5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5</v>
      </c>
      <c r="E18" s="403">
        <f>IF(ISNUMBER(D18/B18),D18/B18," - ")</f>
        <v>5</v>
      </c>
      <c r="F18" s="402">
        <f>IF(ISNUMBER(Datos!N18),Datos!N18," - ")</f>
        <v>248</v>
      </c>
      <c r="G18" s="403">
        <f>IF(ISNUMBER(F18/B18),F18/B18," - ")</f>
        <v>248</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367</v>
      </c>
      <c r="E19" s="847">
        <f t="shared" si="3"/>
        <v>73.400000000000006</v>
      </c>
      <c r="F19" s="846">
        <f>SUBTOTAL(9,F15:F18)</f>
        <v>1625</v>
      </c>
      <c r="G19" s="847">
        <f t="shared" si="4"/>
        <v>325</v>
      </c>
      <c r="H19" s="846">
        <f>SUBTOTAL(9,H15:H18)</f>
        <v>54</v>
      </c>
      <c r="I19" s="847">
        <f>IF(ISNUMBER(H19/B19),H19/B19," - ")</f>
        <v>10.8</v>
      </c>
      <c r="BZ19" s="1181"/>
    </row>
    <row r="20" spans="1:78" ht="14.25" thickTop="1" thickBot="1">
      <c r="A20" s="790" t="str">
        <f>Datos!A20</f>
        <v>TOTAL JURISDICCIONES</v>
      </c>
      <c r="B20" s="791">
        <f>Datos!AP20</f>
        <v>11</v>
      </c>
      <c r="C20" s="791">
        <f>Datos!AR20</f>
        <v>11</v>
      </c>
      <c r="D20" s="791">
        <f>SUBTOTAL(9,D8:D19)</f>
        <v>1159</v>
      </c>
      <c r="E20" s="792">
        <f>IF(ISNUMBER(D20/B20),D20/B20," - ")</f>
        <v>105.36363636363636</v>
      </c>
      <c r="F20" s="791">
        <f>SUBTOTAL(9,F8:F19)</f>
        <v>3320</v>
      </c>
      <c r="G20" s="792">
        <f>IF(ISNUMBER(F20/B20),F20/B20," - ")</f>
        <v>301.81818181818181</v>
      </c>
      <c r="H20" s="791">
        <f>SUBTOTAL(9,H8:H19)</f>
        <v>906</v>
      </c>
      <c r="I20" s="792">
        <f>IF(ISNUMBER(H20/B20),H20/B20," - ")</f>
        <v>82.36363636363636</v>
      </c>
    </row>
    <row r="23" spans="1:78">
      <c r="A23" s="390" t="str">
        <f>Criterios!A4</f>
        <v>Fecha Informe: 18 jun. 2026</v>
      </c>
    </row>
    <row r="28" spans="1:78">
      <c r="A28" s="413"/>
    </row>
  </sheetData>
  <sheetProtection algorithmName="SHA-512" hashValue="ihya0yZAuMKjfUfgV76sytDO1e8zqWmK9LJ4epe8MjVsy2vpc8ycAUPTgAFv0ci5vp+WkGoZzrxZ8DTFUxkI1Q==" saltValue="HKjaxBTotY8HzXD70fyp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TORREJON DE ARDOZ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555</v>
      </c>
      <c r="C9" s="433">
        <f>IF(ISNUMBER(Datos!Q9),Datos!Q9," - ")</f>
        <v>512</v>
      </c>
      <c r="D9" s="407">
        <f>IF(ISNUMBER(Datos!R9),Datos!R9," - ")</f>
        <v>10674</v>
      </c>
    </row>
    <row r="10" spans="1:4">
      <c r="A10" s="401" t="str">
        <f>Datos!A10</f>
        <v>Sección De Violencia sobre la Mujer del TI</v>
      </c>
      <c r="B10" s="432">
        <f>IF(ISNUMBER(Datos!P10),Datos!P10," - ")</f>
        <v>2</v>
      </c>
      <c r="C10" s="433">
        <f>IF(ISNUMBER(Datos!Q10),Datos!Q10," - ")</f>
        <v>15</v>
      </c>
      <c r="D10" s="407">
        <f>IF(ISNUMBER(Datos!R10),Datos!R10," - ")</f>
        <v>71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557</v>
      </c>
      <c r="C13" s="850">
        <f>SUBTOTAL(9,C9:C12)</f>
        <v>527</v>
      </c>
      <c r="D13" s="848">
        <f>SUBTOTAL(9,D9:D12)</f>
        <v>10745</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144</v>
      </c>
      <c r="C15" s="433">
        <f>IF(ISNUMBER(Datos!Q15),Datos!Q15," - ")</f>
        <v>108</v>
      </c>
      <c r="D15" s="407">
        <f>IF(ISNUMBER(Datos!R15),Datos!R15," - ")</f>
        <v>317</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0</v>
      </c>
      <c r="D18" s="407">
        <f>IF(ISNUMBER(Datos!R18),Datos!R18," - ")</f>
        <v>9</v>
      </c>
    </row>
    <row r="19" spans="1:4" ht="14.25" thickTop="1" thickBot="1">
      <c r="A19" s="845" t="str">
        <f>Datos!A19</f>
        <v>TOTAL</v>
      </c>
      <c r="B19" s="846">
        <f>SUBTOTAL(9,B15:B18)</f>
        <v>144</v>
      </c>
      <c r="C19" s="850">
        <f>SUBTOTAL(9,C15:C18)</f>
        <v>108</v>
      </c>
      <c r="D19" s="848">
        <f>SUBTOTAL(9,D15:D18)</f>
        <v>326</v>
      </c>
    </row>
    <row r="20" spans="1:4" ht="16.5" customHeight="1" thickTop="1" thickBot="1">
      <c r="A20" s="790" t="str">
        <f>Datos!A20</f>
        <v>TOTAL JURISDICCIONES</v>
      </c>
      <c r="B20" s="795">
        <f>SUBTOTAL(9,B8:B19)</f>
        <v>701</v>
      </c>
      <c r="C20" s="796">
        <f>SUBTOTAL(9,C8:C19)</f>
        <v>635</v>
      </c>
      <c r="D20" s="797">
        <f>SUBTOTAL(9,D8:D19)</f>
        <v>11071</v>
      </c>
    </row>
    <row r="21" spans="1:4" ht="7.5" customHeight="1"/>
    <row r="22" spans="1:4" ht="6" customHeight="1"/>
    <row r="23" spans="1:4">
      <c r="A23" s="390" t="str">
        <f>Criterios!A4</f>
        <v>Fecha Informe: 18 jun. 2026</v>
      </c>
    </row>
    <row r="28" spans="1:4">
      <c r="A28" s="413"/>
    </row>
  </sheetData>
  <sheetProtection algorithmName="SHA-512" hashValue="TdIHOvGip60OZdd2TXmnxZ25Gyc3XwkbK+BE/nXbIJR8j7rP3/cHXntXZC2twz8RqNhMh0d2uR8iydFn1DIMdQ==" saltValue="YU7aBlGoe4IV7puUCwXm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TORREJON DE ARDOZ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-3.6042872047804229E-3</v>
      </c>
      <c r="C9" s="455">
        <f>IF(ISNUMBER(
   IF(J_V="SI",(Datos!J9-Datos!T9)/Datos!T9,(Datos!J9+Datos!Z9-(Datos!T9+Datos!AH9))/(Datos!T9+Datos!AH9))
     ),IF(J_V="SI",(Datos!J9-Datos!T9)/Datos!T9,(Datos!J9+Datos!Z9-(Datos!T9+Datos!AH9))/(Datos!T9+Datos!AH9))," - ")</f>
        <v>-0.29521715228147333</v>
      </c>
      <c r="D9" s="455">
        <f>IF(ISNUMBER(
   IF(J_V="SI",(Datos!K9-Datos!U9)/Datos!U9,(Datos!K9+Datos!AA9-(Datos!U9+Datos!AI9))/(Datos!U9+Datos!AI9))
     ),IF(J_V="SI",(Datos!K9-Datos!U9)/Datos!U9,(Datos!K9+Datos!AA9-(Datos!U9+Datos!AI9))/(Datos!U9+Datos!AI9))," - ")</f>
        <v>-0.29922027290448344</v>
      </c>
      <c r="E9" s="455">
        <f>IF(ISNUMBER(
   IF(J_V="SI",(Datos!L9-Datos!V9)/Datos!V9,(Datos!L9+Datos!AB9-(Datos!V9+Datos!AJ9))/(Datos!V9+Datos!AJ9))
     ),IF(J_V="SI",(Datos!L9-Datos!V9)/Datos!V9,(Datos!L9+Datos!AB9-(Datos!V9+Datos!AJ9))/(Datos!V9+Datos!AJ9))," - ")</f>
        <v>-4.8419636852723602E-2</v>
      </c>
      <c r="F9" s="455">
        <f>IF(ISNUMBER((Datos!M9-Datos!W9)/Datos!W9),(Datos!M9-Datos!W9)/Datos!W9," - ")</f>
        <v>0.2119815668202765</v>
      </c>
      <c r="G9" s="456">
        <f>IF(ISNUMBER((Datos!N9-Datos!X9)/Datos!X9),(Datos!N9-Datos!X9)/Datos!X9," - ")</f>
        <v>-0.34133858267716538</v>
      </c>
      <c r="H9" s="454">
        <f>IF(ISNUMBER(((NºAsuntos!G9/NºAsuntos!E9)-Datos!BD9)/Datos!BD9),((NºAsuntos!G9/NºAsuntos!E9)-Datos!BD9)/Datos!BD9," - ")</f>
        <v>-5.6799347997311123E-3</v>
      </c>
      <c r="I9" s="455">
        <f>IF(ISNUMBER(((NºAsuntos!I9/NºAsuntos!G9)-Datos!BE9)/Datos!BE9),((NºAsuntos!I9/NºAsuntos!G9)-Datos!BE9)/Datos!BE9," - ")</f>
        <v>0.35788797300292857</v>
      </c>
      <c r="J9" s="460">
        <f>IF(ISNUMBER((('Resol  Asuntos'!D9/NºAsuntos!G9)-Datos!BF9)/Datos!BF9),(('Resol  Asuntos'!D9/NºAsuntos!G9)-Datos!BF9)/Datos!BF9," - ")</f>
        <v>-0.55673671875855579</v>
      </c>
      <c r="K9" s="461">
        <f>IF(ISNUMBER((((NºAsuntos!C9+NºAsuntos!E9)/NºAsuntos!G9)-Datos!BG9)/Datos!BG9),(((NºAsuntos!C9+NºAsuntos!E9)/NºAsuntos!G9)-Datos!BG9)/Datos!BG9," - ")</f>
        <v>0.27991359527121001</v>
      </c>
    </row>
    <row r="10" spans="1:11" ht="21">
      <c r="A10" s="401" t="str">
        <f>Datos!A10</f>
        <v>Sección De Violencia sobre la Mujer del TI</v>
      </c>
      <c r="B10" s="454">
        <f>IF(ISNUMBER((Datos!I10-Datos!S10)/Datos!S10),(Datos!I10-Datos!S10)/Datos!S10," - ")</f>
        <v>-0.15267175572519084</v>
      </c>
      <c r="C10" s="455">
        <f>IF(ISNUMBER((Datos!J10-Datos!T10)/Datos!T10),(Datos!J10-Datos!T10)/Datos!T10," - ")</f>
        <v>0.20689655172413793</v>
      </c>
      <c r="D10" s="455">
        <f>IF(ISNUMBER((Datos!K10-Datos!U10)/Datos!U10),(Datos!K10-Datos!U10)/Datos!U10," - ")</f>
        <v>-0.29545454545454547</v>
      </c>
      <c r="E10" s="455">
        <f>IF(ISNUMBER((Datos!L10-Datos!V10)/Datos!V10),(Datos!L10-Datos!V10)/Datos!V10," - ")</f>
        <v>8.4745762711864406E-3</v>
      </c>
      <c r="F10" s="455">
        <f>IF(ISNUMBER((Datos!M10-Datos!W10)/Datos!W10),(Datos!M10-Datos!W10)/Datos!W10," - ")</f>
        <v>-0.88888888888888884</v>
      </c>
      <c r="G10" s="456">
        <f>IF(ISNUMBER((Datos!N10-Datos!X10)/Datos!X10),(Datos!N10-Datos!X10)/Datos!X10," - ")</f>
        <v>4.7619047619047616E-2</v>
      </c>
      <c r="H10" s="454">
        <f>IF(ISNUMBER(((NºAsuntos!G10/NºAsuntos!E10)-Datos!BD10)/Datos!BD10),((NºAsuntos!G10/NºAsuntos!E10)-Datos!BD10)/Datos!BD10," - ")</f>
        <v>-0.41623376623376623</v>
      </c>
      <c r="I10" s="455">
        <f>IF(ISNUMBER(((NºAsuntos!I10/NºAsuntos!G10)-Datos!BE10)/Datos!BE10),((NºAsuntos!I10/NºAsuntos!G10)-Datos!BE10)/Datos!BE10," - ")</f>
        <v>0.43138326954620027</v>
      </c>
      <c r="J10" s="460">
        <f>IF(ISNUMBER((('Resol  Asuntos'!D10/NºAsuntos!G10)-Datos!BF10)/Datos!BF10),(('Resol  Asuntos'!D10/NºAsuntos!G10)-Datos!BF10)/Datos!BF10," - ")</f>
        <v>-0.8422939068100358</v>
      </c>
      <c r="K10" s="461">
        <f>IF(ISNUMBER((((NºAsuntos!C10+NºAsuntos!E10)/NºAsuntos!G10)-Datos!BG10)/Datos!BG10),(((NºAsuntos!C10+NºAsuntos!E10)/NºAsuntos!G10)-Datos!BG10)/Datos!BG10," - ")</f>
        <v>0.29516129032258076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-5.4337642870526514E-3</v>
      </c>
      <c r="C13" s="852">
        <f>IF(ISNUMBER(
   IF(J_V="SI",(Datos!J13-Datos!T13)/Datos!T13,(Datos!J13+Datos!Z13-(Datos!T13+Datos!AH13))/(Datos!T13+Datos!AH13))
     ),IF(J_V="SI",(Datos!J13-Datos!T13)/Datos!T13,(Datos!J13+Datos!Z13-(Datos!T13+Datos!AH13))/(Datos!T13+Datos!AH13))," - ")</f>
        <v>-0.29256288734961722</v>
      </c>
      <c r="D13" s="852">
        <f>IF(ISNUMBER(
   IF(J_V="SI",(Datos!K13-Datos!U13)/Datos!U13,(Datos!K13+Datos!AA13-(Datos!U13+Datos!AI13))/(Datos!U13+Datos!AI13))
     ),IF(J_V="SI",(Datos!K13-Datos!U13)/Datos!U13,(Datos!K13+Datos!AA13-(Datos!U13+Datos!AI13))/(Datos!U13+Datos!AI13))," - ")</f>
        <v>-0.29918032786885246</v>
      </c>
      <c r="E13" s="852">
        <f>IF(ISNUMBER(
   IF(J_V="SI",(Datos!L13-Datos!V13)/Datos!V13,(Datos!L13+Datos!AB13-(Datos!V13+Datos!AJ13))/(Datos!V13+Datos!AJ13))
     ),IF(J_V="SI",(Datos!L13-Datos!V13)/Datos!V13,(Datos!L13+Datos!AB13-(Datos!V13+Datos!AJ13))/(Datos!V13+Datos!AJ13))," - ")</f>
        <v>-4.7860829032795073E-2</v>
      </c>
      <c r="F13" s="853">
        <f>IF(ISNUMBER((Datos!M13-Datos!W13)/Datos!W13),(Datos!M13-Datos!W13)/Datos!W13," - ")</f>
        <v>0.16814159292035399</v>
      </c>
      <c r="G13" s="854">
        <f>IF(ISNUMBER((Datos!N13-Datos!X13)/Datos!X13),(Datos!N13-Datos!X13)/Datos!X13," - ")</f>
        <v>-0.33814916048418586</v>
      </c>
      <c r="H13" s="854">
        <f>IF(ISNUMBER(((NºAsuntos!G13/NºAsuntos!E13)-Datos!BD13)/Datos!BD13),((NºAsuntos!G13/NºAsuntos!E13)-Datos!BD13)/Datos!BD13," - ")</f>
        <v>-9.3541042742912445E-3</v>
      </c>
      <c r="I13" s="854">
        <f>IF(ISNUMBER(((NºAsuntos!I13/NºAsuntos!G13)-Datos!BE13)/Datos!BE13),((NºAsuntos!I13/NºAsuntos!G13)-Datos!BE13)/Datos!BE13," - ")</f>
        <v>0.35860793985963746</v>
      </c>
      <c r="J13" s="854">
        <f>IF(ISNUMBER((('Resol  Asuntos'!D13/NºAsuntos!G13)-Datos!BF13)/Datos!BF13),(('Resol  Asuntos'!D13/NºAsuntos!G13)-Datos!BF13)/Datos!BF13," - ")</f>
        <v>-0.55975642261087077</v>
      </c>
      <c r="K13" s="854">
        <f>IF(ISNUMBER((((NºAsuntos!C13+NºAsuntos!E13)/NºAsuntos!G13)-Datos!BG13)/Datos!BG13),(((NºAsuntos!C13+NºAsuntos!E13)/NºAsuntos!G13)-Datos!BG13)/Datos!BG13," - ")</f>
        <v>0.28006050605060506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8.6867305061559513E-2</v>
      </c>
      <c r="C15" s="455">
        <f>IF(ISNUMBER(
   IF(D_I="SI",(Datos!J15-Datos!T15)/Datos!T15,(Datos!J15+Datos!AD15-(Datos!T15+Datos!AL15))/(Datos!T15+Datos!AL15))
     ),IF(D_I="SI",(Datos!J15-Datos!T15)/Datos!T15,(Datos!J15+Datos!AD15-(Datos!T15+Datos!AL15))/(Datos!T15+Datos!AL15))," - ")</f>
        <v>6.678306416412047E-2</v>
      </c>
      <c r="D15" s="455">
        <f>IF(ISNUMBER(
   IF(D_I="SI",(Datos!K15-Datos!U15)/Datos!U15,(Datos!K15+Datos!AE15-(Datos!U15+Datos!AM15))/(Datos!U15+Datos!AM15))
     ),IF(D_I="SI",(Datos!K15-Datos!U15)/Datos!U15,(Datos!K15+Datos!AE15-(Datos!U15+Datos!AM15))/(Datos!U15+Datos!AM15))," - ")</f>
        <v>8.8284518828451883E-2</v>
      </c>
      <c r="E15" s="455">
        <f>IF(ISNUMBER(
   IF(D_I="SI",(Datos!L15-Datos!V15)/Datos!V15,(Datos!L15+Datos!AF15-(Datos!V15+Datos!AN15))/(Datos!V15+Datos!AN15))
     ),IF(D_I="SI",(Datos!L15-Datos!V15)/Datos!V15,(Datos!L15+Datos!AF15-(Datos!V15+Datos!AN15))/(Datos!V15+Datos!AN15))," - ")</f>
        <v>0.19546364242828551</v>
      </c>
      <c r="F15" s="455">
        <f>IF(ISNUMBER((Datos!M15-Datos!W15)/Datos!W15),(Datos!M15-Datos!W15)/Datos!W15," - ")</f>
        <v>2.7700831024930748E-3</v>
      </c>
      <c r="G15" s="456">
        <f>IF(ISNUMBER((Datos!N15-Datos!X15)/Datos!X15),(Datos!N15-Datos!X15)/Datos!X15," - ")</f>
        <v>-6.3902107409925218E-2</v>
      </c>
      <c r="H15" s="454">
        <f>IF(ISNUMBER(((NºAsuntos!G15/NºAsuntos!E15)-Datos!BD15)/Datos!BD15),((NºAsuntos!G15/NºAsuntos!E15)-Datos!BD15)/Datos!BD15," - ")</f>
        <v>2.0155414335508527E-2</v>
      </c>
      <c r="I15" s="455">
        <f>IF(ISNUMBER(((NºAsuntos!I15/NºAsuntos!G15)-Datos!BE15)/Datos!BE15),((NºAsuntos!I15/NºAsuntos!G15)-Datos!BE15)/Datos!BE15," - ")</f>
        <v>9.8484469590004758E-2</v>
      </c>
      <c r="J15" s="460">
        <f>IF(ISNUMBER((('Resol  Asuntos'!D15/NºAsuntos!G15)-Datos!BF15)/Datos!BF15),(('Resol  Asuntos'!D15/NºAsuntos!G15)-Datos!BF15)/Datos!BF15," - ")</f>
        <v>-7.8577278502515127E-2</v>
      </c>
      <c r="K15" s="461">
        <f>IF(ISNUMBER((((NºAsuntos!C15+NºAsuntos!E15)/NºAsuntos!G15)-Datos!BG15)/Datos!BG15),(((NºAsuntos!C15+NºAsuntos!E15)/NºAsuntos!G15)-Datos!BG15)/Datos!BG15," - ")</f>
        <v>-1.2567979705688292E-2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-0.625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-0.8</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0.63005780346820806</v>
      </c>
      <c r="C18" s="455">
        <f>IF(ISNUMBER(
   IF(D_I="SI",(Datos!J18-Datos!T18)/Datos!T18,(Datos!J18+Datos!AD18-(Datos!T18+Datos!AL18))/(Datos!T18+Datos!AL18))
     ),IF(D_I="SI",(Datos!J18-Datos!T18)/Datos!T18,(Datos!J18+Datos!AD18-(Datos!T18+Datos!AL18))/(Datos!T18+Datos!AL18))," - ")</f>
        <v>0.15354330708661418</v>
      </c>
      <c r="D18" s="455">
        <f>IF(ISNUMBER(
   IF(D_I="SI",(Datos!K18-Datos!U18)/Datos!U18,(Datos!K18+Datos!AE18-(Datos!U18+Datos!AM18))/(Datos!U18+Datos!AM18))
     ),IF(D_I="SI",(Datos!K18-Datos!U18)/Datos!U18,(Datos!K18+Datos!AE18-(Datos!U18+Datos!AM18))/(Datos!U18+Datos!AM18))," - ")</f>
        <v>-0.14465408805031446</v>
      </c>
      <c r="E18" s="455">
        <f>IF(ISNUMBER(
   IF(D_I="SI",(Datos!L18-Datos!V18)/Datos!V18,(Datos!L18+Datos!AF18-(Datos!V18+Datos!AN18))/(Datos!V18+Datos!AN18))
     ),IF(D_I="SI",(Datos!L18-Datos!V18)/Datos!V18,(Datos!L18+Datos!AF18-(Datos!V18+Datos!AN18))/(Datos!V18+Datos!AN18))," - ")</f>
        <v>1.7876106194690264</v>
      </c>
      <c r="F18" s="455">
        <f>IF(ISNUMBER((Datos!M18-Datos!W18)/Datos!W18),(Datos!M18-Datos!W18)/Datos!W18," - ")</f>
        <v>-0.5</v>
      </c>
      <c r="G18" s="456">
        <f>IF(ISNUMBER((Datos!N18-Datos!X18)/Datos!X18),(Datos!N18-Datos!X18)/Datos!X18," - ")</f>
        <v>0.29842931937172773</v>
      </c>
      <c r="H18" s="454">
        <f>IF(ISNUMBER(((NºAsuntos!G18/NºAsuntos!E18)-Datos!BD18)/Datos!BD18),((NºAsuntos!G18/NºAsuntos!E18)-Datos!BD18)/Datos!BD18," - ")</f>
        <v>-0.25850559168866849</v>
      </c>
      <c r="I18" s="455">
        <f>IF(ISNUMBER(((NºAsuntos!I18/NºAsuntos!G18)-Datos!BE18)/Datos!BE18),((NºAsuntos!I18/NºAsuntos!G18)-Datos!BE18)/Datos!BE18," - ")</f>
        <v>2.2590447683498183</v>
      </c>
      <c r="J18" s="460">
        <f>IF(ISNUMBER((('Resol  Asuntos'!D18/NºAsuntos!G18)-Datos!BF18)/Datos!BF18),(('Resol  Asuntos'!D18/NºAsuntos!G18)-Datos!BF18)/Datos!BF18," - ")</f>
        <v>-0.4154411764705882</v>
      </c>
      <c r="K18" s="461">
        <f>IF(ISNUMBER((((NºAsuntos!C18+NºAsuntos!E18)/NºAsuntos!G18)-Datos!BG18)/Datos!BG18),(((NºAsuntos!C18+NºAsuntos!E18)/NºAsuntos!G18)-Datos!BG18)/Datos!BG18," - ")</f>
        <v>0.57433875189420014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0.14059646987218502</v>
      </c>
      <c r="C19" s="852">
        <f>IF(ISNUMBER(
   IF(Criterios!B14="SI",(Datos!J19-Datos!T19)/Datos!T19,(Datos!J19+Datos!AD19-(Datos!T19+Datos!AL19))/(Datos!T19+Datos!AL19))
     ),IF(Criterios!B14="SI",(Datos!J19-Datos!T19)/Datos!T19,(Datos!J19+Datos!AD19-(Datos!T19+Datos!AL19))/(Datos!T19+Datos!AL19))," - ")</f>
        <v>7.5442043222003929E-2</v>
      </c>
      <c r="D19" s="852">
        <f>IF(ISNUMBER(
   IF(Criterios!B14="SI",(Datos!K19-Datos!U19)/Datos!U19,(Datos!K19+Datos!AE19-(Datos!U19+Datos!AM19))/(Datos!U19+Datos!AM19))
     ),IF(Criterios!B14="SI",(Datos!K19-Datos!U19)/Datos!U19,(Datos!K19+Datos!AE19-(Datos!U19+Datos!AM19))/(Datos!U19+Datos!AM19))," - ")</f>
        <v>5.9756547399483585E-2</v>
      </c>
      <c r="E19" s="852">
        <f>IF(ISNUMBER(
   IF(Criterios!B14="SI",(Datos!L19-Datos!V19)/Datos!V19,(Datos!L19+Datos!AF19-(Datos!V19+Datos!AN19))/(Datos!V19+Datos!AN19))
     ),IF(Criterios!B14="SI",(Datos!L19-Datos!V19)/Datos!V19,(Datos!L19+Datos!AF19-(Datos!V19+Datos!AN19))/(Datos!V19+Datos!AN19))," - ")</f>
        <v>0.30364873222016081</v>
      </c>
      <c r="F19" s="853">
        <f>IF(ISNUMBER((Datos!M19-Datos!W19)/Datos!W19),(Datos!M19-Datos!W19)/Datos!W19," - ")</f>
        <v>-1.078167115902965E-2</v>
      </c>
      <c r="G19" s="854">
        <f>IF(ISNUMBER((Datos!N19-Datos!X19)/Datos!X19),(Datos!N19-Datos!X19)/Datos!X19," - ")</f>
        <v>-2.4024024024024024E-2</v>
      </c>
      <c r="H19" s="854">
        <f>IF(ISNUMBER(((NºAsuntos!G19/NºAsuntos!E19)-Datos!BD19)/Datos!BD19),((NºAsuntos!G19/NºAsuntos!E19)-Datos!BD19)/Datos!BD19," - ")</f>
        <v>-1.45851614425699E-2</v>
      </c>
      <c r="I19" s="854">
        <f>IF(ISNUMBER(((NºAsuntos!I19/NºAsuntos!G19)-Datos!BE19)/Datos!BE19),((NºAsuntos!I19/NºAsuntos!G19)-Datos!BE19)/Datos!BE19," - ")</f>
        <v>0.23013982354641688</v>
      </c>
      <c r="J19" s="854">
        <f>IF(ISNUMBER((('Resol  Asuntos'!D19/NºAsuntos!G19)-Datos!BF19)/Datos!BF19),(('Resol  Asuntos'!D19/NºAsuntos!G19)-Datos!BF19)/Datos!BF19," - ")</f>
        <v>-6.6560776370389554E-2</v>
      </c>
      <c r="K19" s="854">
        <f>IF(ISNUMBER((((NºAsuntos!C19+NºAsuntos!E19)/NºAsuntos!G19)-Datos!BG19)/Datos!BG19),(((NºAsuntos!C19+NºAsuntos!E19)/NºAsuntos!G19)-Datos!BG19)/Datos!BG19," - ")</f>
        <v>3.8920559661785446E-2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1.4045627993829666E-2</v>
      </c>
      <c r="C20" s="799">
        <f>IF(ISNUMBER(
   IF(J_V="SI",(Datos!J20-Datos!T20)/Datos!T20,(Datos!J20+Datos!Z20-(Datos!T20+Datos!AH20))/(Datos!T20+Datos!AH20))
     ),IF(J_V="SI",(Datos!J20-Datos!T20)/Datos!T20,(Datos!J20+Datos!Z20-(Datos!T20+Datos!AH20))/(Datos!T20+Datos!AH20))," - ")</f>
        <v>-0.17594322002241314</v>
      </c>
      <c r="D20" s="799">
        <f>IF(ISNUMBER(
   IF(J_V="SI",(Datos!K20-Datos!U20)/Datos!U20,(Datos!K20+Datos!AA20-(Datos!U20+Datos!AI20))/(Datos!U20+Datos!AI20))
     ),IF(J_V="SI",(Datos!K20-Datos!U20)/Datos!U20,(Datos!K20+Datos!AA20-(Datos!U20+Datos!AI20))/(Datos!U20+Datos!AI20))," - ")</f>
        <v>-0.15731156145210673</v>
      </c>
      <c r="E20" s="799">
        <f>IF(ISNUMBER(
   IF(J_V="SI",(Datos!L20-Datos!V20)/Datos!V20,(Datos!L20+Datos!AB20-(Datos!V20+Datos!AJ20))/(Datos!V20+Datos!AJ20))
     ),IF(J_V="SI",(Datos!L20-Datos!V20)/Datos!V20,(Datos!L20+Datos!AB20-(Datos!V20+Datos!AJ20))/(Datos!V20+Datos!AJ20))," - ")</f>
        <v>-6.16242388672878E-3</v>
      </c>
      <c r="F20" s="800">
        <f>IF(ISNUMBER((Datos!M20-Datos!W20)/Datos!W20),(Datos!M20-Datos!W20)/Datos!W20," - ")</f>
        <v>0.10486177311725453</v>
      </c>
      <c r="G20" s="801">
        <f>IF(ISNUMBER((Datos!N20-Datos!X20)/Datos!X20),(Datos!N20-Datos!X20)/Datos!X20," - ")</f>
        <v>-0.21438712730714624</v>
      </c>
      <c r="H20" s="802">
        <f>IF(ISNUMBER((Tasas!B20-Datos!BD20)/Datos!BD20),(Tasas!B20-Datos!BD20)/Datos!BD20," - ")</f>
        <v>2.2609678147194123E-2</v>
      </c>
      <c r="I20" s="803">
        <f>IF(ISNUMBER((Tasas!C20-Datos!BE20)/Datos!BE20),(Tasas!C20-Datos!BE20)/Datos!BE20," - ")</f>
        <v>0.17936538660223661</v>
      </c>
      <c r="J20" s="804">
        <f>IF(ISNUMBER((Tasas!D20-Datos!BF20)/Datos!BF20),(Tasas!D20-Datos!BF20)/Datos!BF20," - ")</f>
        <v>-0.53187201000610074</v>
      </c>
      <c r="K20" s="804">
        <f>IF(ISNUMBER((Tasas!E20-Datos!BG20)/Datos!BG20),(Tasas!E20-Datos!BG20)/Datos!BG20," - ")</f>
        <v>0.11436244637426424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ZT/rka5uxPGjc9X05L7OiOASrg411U8jm6BbLwXeyUNXTCckwiTzqDqNCfwbUZD7VSoA/ida9HWakIztVHllA==" saltValue="6a9P2EHjYZW1P4cFZPQl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TORREJON DE ARDOZ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0.74778991159646391</v>
      </c>
      <c r="C9" s="442">
        <f>IF(ISNUMBER(NºAsuntos!I9/NºAsuntos!G9),NºAsuntos!I9/NºAsuntos!G9," - ")</f>
        <v>3.9360222531293463</v>
      </c>
      <c r="D9" s="443">
        <f>IF(ISNUMBER('Resol  Asuntos'!D9/NºAsuntos!G9),'Resol  Asuntos'!D9/NºAsuntos!G9," - ")</f>
        <v>0.2743393602225313</v>
      </c>
      <c r="E9" s="444">
        <f>IF(ISNUMBER((NºAsuntos!C9+NºAsuntos!E9)/NºAsuntos!G9),(NºAsuntos!C9+NºAsuntos!E9)/NºAsuntos!G9," - ")</f>
        <v>4.989916550764951</v>
      </c>
      <c r="G9" s="462"/>
    </row>
    <row r="10" spans="1:7" ht="21">
      <c r="A10" s="401" t="str">
        <f>Datos!A10</f>
        <v>Sección De Violencia sobre la Mujer del TI</v>
      </c>
      <c r="B10" s="441">
        <f>IF(ISNUMBER(NºAsuntos!G10/NºAsuntos!E10),NºAsuntos!G10/NºAsuntos!E10," - ")</f>
        <v>0.88571428571428568</v>
      </c>
      <c r="C10" s="442">
        <f>IF(ISNUMBER(NºAsuntos!I10/NºAsuntos!G10),NºAsuntos!I10/NºAsuntos!G10," - ")</f>
        <v>3.838709677419355</v>
      </c>
      <c r="D10" s="443">
        <f>IF(ISNUMBER('Resol  Asuntos'!D10/NºAsuntos!G10),'Resol  Asuntos'!D10/NºAsuntos!G10," - ")</f>
        <v>9.6774193548387094E-2</v>
      </c>
      <c r="E10" s="444">
        <f>IF(ISNUMBER((NºAsuntos!C10+NºAsuntos!E10)/NºAsuntos!G10),(NºAsuntos!C10+NºAsuntos!E10)/NºAsuntos!G10," - ")</f>
        <v>4.709677419354839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0.74903375418706519</v>
      </c>
      <c r="C13" s="856">
        <f>IF(ISNUMBER(NºAsuntos!I13/NºAsuntos!G13),NºAsuntos!I13/NºAsuntos!G13," - ")</f>
        <v>3.9349845201238391</v>
      </c>
      <c r="D13" s="857">
        <f>IF(ISNUMBER('Resol  Asuntos'!D13/NºAsuntos!G13),'Resol  Asuntos'!D13/NºAsuntos!G13," - ")</f>
        <v>0.27244582043343651</v>
      </c>
      <c r="E13" s="858">
        <f>IF(ISNUMBER((NºAsuntos!C13+NºAsuntos!E13)/NºAsuntos!G13),(NºAsuntos!C13+NºAsuntos!E13)/NºAsuntos!G13," - ")</f>
        <v>4.9869281045751634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1.0642389525368248</v>
      </c>
      <c r="C15" s="442">
        <f>IF(ISNUMBER(NºAsuntos!I15/NºAsuntos!G15),NºAsuntos!I15/NºAsuntos!G15," - ")</f>
        <v>0.68896578239138795</v>
      </c>
      <c r="D15" s="443">
        <f>IF(ISNUMBER('Resol  Asuntos'!D15/NºAsuntos!G15),'Resol  Asuntos'!D15/NºAsuntos!G15," - ")</f>
        <v>0.13917723952326028</v>
      </c>
      <c r="E15" s="444">
        <f>IF(ISNUMBER((NºAsuntos!C15+NºAsuntos!E15)/NºAsuntos!G15),(NºAsuntos!C15+NºAsuntos!E15)/NºAsuntos!G15," - ")</f>
        <v>1.5505574778931179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0.92832764505119458</v>
      </c>
      <c r="C18" s="442">
        <f>IF(ISNUMBER(NºAsuntos!I18/NºAsuntos!G18),NºAsuntos!I18/NºAsuntos!G18," - ")</f>
        <v>1.1580882352941178</v>
      </c>
      <c r="D18" s="443">
        <f>IF(ISNUMBER('Resol  Asuntos'!D18/NºAsuntos!G18),'Resol  Asuntos'!D18/NºAsuntos!G18," - ")</f>
        <v>1.8382352941176471E-2</v>
      </c>
      <c r="E18" s="444">
        <f>IF(ISNUMBER((NºAsuntos!C18+NºAsuntos!E18)/NºAsuntos!G18),(NºAsuntos!C18+NºAsuntos!E18)/NºAsuntos!G18," - ")</f>
        <v>2.1139705882352939</v>
      </c>
      <c r="G18" s="462"/>
    </row>
    <row r="19" spans="1:7" ht="14.25" thickTop="1" thickBot="1">
      <c r="A19" s="845" t="str">
        <f>Datos!A19</f>
        <v>TOTAL</v>
      </c>
      <c r="B19" s="855">
        <f>IF(ISNUMBER(NºAsuntos!G19/NºAsuntos!E19),NºAsuntos!G19/NºAsuntos!E19," - ")</f>
        <v>1.0496894409937889</v>
      </c>
      <c r="C19" s="856">
        <f>IF(ISNUMBER(NºAsuntos!I19/NºAsuntos!G19),NºAsuntos!I19/NºAsuntos!G19," - ")</f>
        <v>0.73372781065088755</v>
      </c>
      <c r="D19" s="859">
        <f>IF(ISNUMBER('Resol  Asuntos'!D19/NºAsuntos!G19),'Resol  Asuntos'!D19/NºAsuntos!G19," - ")</f>
        <v>0.12774103724329969</v>
      </c>
      <c r="E19" s="858">
        <f>IF(ISNUMBER((NºAsuntos!C19+NºAsuntos!E19)/NºAsuntos!G19),(NºAsuntos!C19+NºAsuntos!E19)/NºAsuntos!G19," - ")</f>
        <v>1.6049425687434737</v>
      </c>
      <c r="G19" s="462"/>
    </row>
    <row r="20" spans="1:7" ht="15.75" customHeight="1" thickTop="1" thickBot="1">
      <c r="A20" s="790" t="str">
        <f>Datos!A20</f>
        <v>TOTAL JURISDICCIONES</v>
      </c>
      <c r="B20" s="805">
        <f>IF(ISNUMBER(NºAsuntos!G20/NºAsuntos!E20),NºAsuntos!G20/NºAsuntos!E20," - ")</f>
        <v>0.87337564218797215</v>
      </c>
      <c r="C20" s="806">
        <f>IF(ISNUMBER(NºAsuntos!I20/NºAsuntos!G20),NºAsuntos!I20/NºAsuntos!G20," - ")</f>
        <v>2.3437716262975781</v>
      </c>
      <c r="D20" s="807">
        <f>IF(ISNUMBER('Resol  Asuntos'!D20/NºAsuntos!G20),'Resol  Asuntos'!D20/NºAsuntos!G20," - ")</f>
        <v>0.2005190311418685</v>
      </c>
      <c r="E20" s="808">
        <f>IF(ISNUMBER((NºAsuntos!C20+NºAsuntos!E20)/NºAsuntos!G20),(NºAsuntos!C20+NºAsuntos!E20)/NºAsuntos!G20," - ")</f>
        <v>3.3058823529411763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CNRguNMv+06qq7YE55Y5PRfb351cAxmpZg9nGqj2aH3/dvZ2irOWyZbwZOqoxFkNp+aarGRSU+JnUV3qHSq1Q==" saltValue="kAfKzS4rsilGQPfVPGzqi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TORREJON DE ARDOZ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555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512</v>
      </c>
      <c r="Y9" s="333">
        <f>SUM(W9:X9)</f>
        <v>512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10674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789</v>
      </c>
      <c r="AJ9" s="228" t="str">
        <f>IF(ISNUMBER(Datos!BW9),Datos!BW9," - ")</f>
        <v xml:space="preserve"> - </v>
      </c>
      <c r="AK9" s="227" t="str">
        <f>IF(ISNUMBER(Datos!BX9),Datos!BX9," - ")</f>
        <v xml:space="preserve"> - </v>
      </c>
      <c r="AL9" s="242">
        <f>IF(ISNUMBER(NºAsuntos!G9/NºAsuntos!E9),NºAsuntos!G9/NºAsuntos!E9," - ")</f>
        <v>0.74778991159646391</v>
      </c>
      <c r="AM9" s="259">
        <f>IF(ISNUMBER(((NºAsuntos!I9/NºAsuntos!G9)*11)/factor_trimestre),((NºAsuntos!I9/NºAsuntos!G9)*11)/factor_trimestre," - ")</f>
        <v>11.808066759388041</v>
      </c>
      <c r="AN9" s="243">
        <f>IF(ISNUMBER('Resol  Asuntos'!D9/NºAsuntos!G9),'Resol  Asuntos'!D9/NºAsuntos!G9," - ")</f>
        <v>0.2743393602225313</v>
      </c>
      <c r="AO9" s="244">
        <f>IF(ISNUMBER((NºAsuntos!C9+NºAsuntos!E9)/NºAsuntos!G9),(NºAsuntos!C9+NºAsuntos!E9)/NºAsuntos!G9," - ")</f>
        <v>4.989916550764951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115</v>
      </c>
      <c r="G10" s="332">
        <f>IF(ISNUMBER(Datos!I10),Datos!I10," - ")</f>
        <v>111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15</v>
      </c>
      <c r="Y10" s="333">
        <f t="shared" ref="Y10:Y12" si="0">SUM(W10:X10)</f>
        <v>46</v>
      </c>
      <c r="Z10" s="334" t="str">
        <f>IF(ISNUMBER(Datos!CC10),Datos!CC10," - ")</f>
        <v xml:space="preserve"> - </v>
      </c>
      <c r="AA10" s="331">
        <f>IF(ISNUMBER(Datos!L10),Datos!L10,"-")</f>
        <v>119</v>
      </c>
      <c r="AB10" s="333">
        <f>IF(ISNUMBER(Datos!R10),Datos!R10," - ")</f>
        <v>71</v>
      </c>
      <c r="AC10" s="333">
        <f t="shared" ref="AC10:AC12" si="1">IF(ISNUMBER(AA10+AB10),AA10+AB10," - ")</f>
        <v>190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0.88571428571428568</v>
      </c>
      <c r="AM10" s="259">
        <f>IF(ISNUMBER(((NºAsuntos!I10/NºAsuntos!G10)*11)/factor_trimestre),((NºAsuntos!I10/NºAsuntos!G10)*11)/factor_trimestre," - ")</f>
        <v>11.516129032258066</v>
      </c>
      <c r="AN10" s="243">
        <f>IF(ISNUMBER('Resol  Asuntos'!D10/NºAsuntos!G10),'Resol  Asuntos'!D10/NºAsuntos!G10," - ")</f>
        <v>9.6774193548387094E-2</v>
      </c>
      <c r="AO10" s="244">
        <f>IF(ISNUMBER((NºAsuntos!C10+NºAsuntos!E10)/NºAsuntos!G10),(NºAsuntos!C10+NºAsuntos!E10)/NºAsuntos!G10," - ")</f>
        <v>4.709677419354839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115</v>
      </c>
      <c r="G13" s="863">
        <f t="shared" si="3"/>
        <v>111</v>
      </c>
      <c r="H13" s="862">
        <f t="shared" si="3"/>
        <v>0</v>
      </c>
      <c r="I13" s="864">
        <f t="shared" si="3"/>
        <v>0</v>
      </c>
      <c r="J13" s="864">
        <f t="shared" si="3"/>
        <v>0</v>
      </c>
      <c r="K13" s="864">
        <f t="shared" si="3"/>
        <v>0</v>
      </c>
      <c r="L13" s="864">
        <f t="shared" si="3"/>
        <v>557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31</v>
      </c>
      <c r="X13" s="864">
        <f t="shared" si="4"/>
        <v>527</v>
      </c>
      <c r="Y13" s="865">
        <f t="shared" si="4"/>
        <v>558</v>
      </c>
      <c r="Z13" s="865">
        <f t="shared" si="4"/>
        <v>0</v>
      </c>
      <c r="AA13" s="865">
        <f t="shared" si="4"/>
        <v>119</v>
      </c>
      <c r="AB13" s="865">
        <f t="shared" si="4"/>
        <v>10745</v>
      </c>
      <c r="AC13" s="865">
        <f t="shared" si="4"/>
        <v>190</v>
      </c>
      <c r="AD13" s="865">
        <f t="shared" si="4"/>
        <v>0</v>
      </c>
      <c r="AE13" s="869">
        <f t="shared" si="4"/>
        <v>0</v>
      </c>
      <c r="AF13" s="862">
        <f t="shared" si="4"/>
        <v>0</v>
      </c>
      <c r="AG13" s="870">
        <f t="shared" si="4"/>
        <v>0</v>
      </c>
      <c r="AH13" s="867">
        <f t="shared" si="4"/>
        <v>0</v>
      </c>
      <c r="AI13" s="862">
        <f t="shared" si="4"/>
        <v>792</v>
      </c>
      <c r="AJ13" s="864">
        <f t="shared" si="4"/>
        <v>0</v>
      </c>
      <c r="AK13" s="867">
        <f>SUBTOTAL(9,AK9:AK12)</f>
        <v>0</v>
      </c>
      <c r="AL13" s="871">
        <f>IF(ISNUMBER(NºAsuntos!G13/NºAsuntos!E13),NºAsuntos!G13/NºAsuntos!E13," - ")</f>
        <v>0.74903375418706519</v>
      </c>
      <c r="AM13" s="871">
        <f>IF(ISNUMBER(((NºAsuntos!I13/NºAsuntos!G13)*11)/factor_trimestre),((NºAsuntos!I13/NºAsuntos!G13)*11)/factor_trimestre," - ")</f>
        <v>11.804953560371517</v>
      </c>
      <c r="AN13" s="872">
        <f>IF(ISNUMBER('Resol  Asuntos'!D13/NºAsuntos!G13),'Resol  Asuntos'!D13/NºAsuntos!G13," - ")</f>
        <v>0.27244582043343651</v>
      </c>
      <c r="AO13" s="873">
        <f>IF(ISNUMBER((NºAsuntos!C13+NºAsuntos!E13)/NºAsuntos!G13),(NºAsuntos!C13+NºAsuntos!E13)/NºAsuntos!G13," - ")</f>
        <v>4.9869281045751634</v>
      </c>
      <c r="AP13" s="874" t="str">
        <f t="shared" si="2"/>
        <v xml:space="preserve"> - </v>
      </c>
      <c r="AQ13" s="874">
        <f>IF(ISNUMBER((H13-W13+K13)/(F13)),(H13-W13+K13)/(F13)," - ")</f>
        <v>-0.26956521739130435</v>
      </c>
      <c r="AR13" s="875">
        <f>IF(ISNUMBER((Datos!P13-Datos!Q13)/(Datos!R13-Datos!P13+Datos!Q13)),(Datos!P13-Datos!Q13)/(Datos!R13-Datos!P13+Datos!Q13)," - ")</f>
        <v>2.7998133457769483E-3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1949</v>
      </c>
      <c r="G15" s="332">
        <f>IF(ISNUMBER(IF(D_I="SI",Datos!I15,Datos!I15+Datos!AC15)),IF(D_I="SI",Datos!I15,Datos!I15+Datos!AC15)," - ")</f>
        <v>1589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2601</v>
      </c>
      <c r="X15" s="225">
        <f>IF(ISNUMBER(Datos!Q15),Datos!Q15," - ")</f>
        <v>108</v>
      </c>
      <c r="Y15" s="333">
        <f>SUM(W15)</f>
        <v>2601</v>
      </c>
      <c r="Z15" s="334" t="str">
        <f>IF(ISNUMBER(Datos!CC15),Datos!CC15," - ")</f>
        <v xml:space="preserve"> - </v>
      </c>
      <c r="AA15" s="331">
        <f>IF(ISNUMBER(IF(D_I="SI",Datos!L15,Datos!L15+Datos!AF15)),IF(D_I="SI",Datos!L15,Datos!L15+Datos!AF15)," - ")</f>
        <v>1792</v>
      </c>
      <c r="AB15" s="333">
        <f>IF(ISNUMBER(Datos!R15),Datos!R15," - ")</f>
        <v>317</v>
      </c>
      <c r="AC15" s="333">
        <f t="shared" ref="AC15:AC18" si="6">IF(ISNUMBER(AA15+AB15),AA15+AB15," - ")</f>
        <v>2109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362</v>
      </c>
      <c r="AJ15" s="230" t="str">
        <f>IF(ISNUMBER(Datos!BW15),Datos!BW15," - ")</f>
        <v xml:space="preserve"> - </v>
      </c>
      <c r="AK15" s="231" t="str">
        <f>IF(ISNUMBER(Datos!BX15),Datos!BX15," - ")</f>
        <v xml:space="preserve"> - </v>
      </c>
      <c r="AL15" s="242">
        <f>IF(ISNUMBER(NºAsuntos!G15/NºAsuntos!E15),NºAsuntos!G15/NºAsuntos!E15," - ")</f>
        <v>1.0642389525368248</v>
      </c>
      <c r="AM15" s="259">
        <f>IF(ISNUMBER(((NºAsuntos!I15/NºAsuntos!G15)*11)/factor_trimestre),((NºAsuntos!I15/NºAsuntos!G15)*11)/factor_trimestre," - ")</f>
        <v>2.0668973471741641</v>
      </c>
      <c r="AN15" s="243">
        <f>IF(ISNUMBER('Resol  Asuntos'!D15/NºAsuntos!G15),'Resol  Asuntos'!D15/NºAsuntos!G15," - ")</f>
        <v>0.13917723952326028</v>
      </c>
      <c r="AO15" s="244">
        <f>IF(ISNUMBER((NºAsuntos!C15+NºAsuntos!E15)/NºAsuntos!G15),(NºAsuntos!C15+NºAsuntos!E15)/NºAsuntos!G15," - ")</f>
        <v>1.5505574778931179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1</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282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272</v>
      </c>
      <c r="X18" s="225">
        <f>IF(ISNUMBER(Datos!Q18),Datos!Q18," - ")</f>
        <v>0</v>
      </c>
      <c r="Y18" s="333">
        <f t="shared" si="9"/>
        <v>272</v>
      </c>
      <c r="Z18" s="334" t="str">
        <f>IF(ISNUMBER(Datos!CC18),Datos!CC18," - ")</f>
        <v xml:space="preserve"> - </v>
      </c>
      <c r="AA18" s="331">
        <f>IF(ISNUMBER(Datos!L18),Datos!L18,"-")</f>
        <v>315</v>
      </c>
      <c r="AB18" s="333">
        <f>IF(ISNUMBER(Datos!R18),Datos!R18," - ")</f>
        <v>9</v>
      </c>
      <c r="AC18" s="333">
        <f t="shared" si="6"/>
        <v>324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0.92832764505119458</v>
      </c>
      <c r="AM18" s="259">
        <f>IF(ISNUMBER(((NºAsuntos!I18/NºAsuntos!G18)*11)/factor_trimestre),((NºAsuntos!I18/NºAsuntos!G18)*11)/factor_trimestre," - ")</f>
        <v>3.4742647058823533</v>
      </c>
      <c r="AN18" s="243">
        <f>IF(ISNUMBER('Resol  Asuntos'!D18/NºAsuntos!G18),'Resol  Asuntos'!D18/NºAsuntos!G18," - ")</f>
        <v>1.8382352941176471E-2</v>
      </c>
      <c r="AO18" s="244">
        <f>IF(ISNUMBER((NºAsuntos!C18+NºAsuntos!E18)/NºAsuntos!G18),(NºAsuntos!C18+NºAsuntos!E18)/NºAsuntos!G18," - ")</f>
        <v>2.1139705882352939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1950</v>
      </c>
      <c r="G19" s="863">
        <f>SUBTOTAL(9,G15:G18)</f>
        <v>1874</v>
      </c>
      <c r="H19" s="862">
        <f t="shared" ref="H19:O19" si="12">SUBTOTAL(9,H14:H18)</f>
        <v>0</v>
      </c>
      <c r="I19" s="864">
        <f t="shared" si="12"/>
        <v>0</v>
      </c>
      <c r="J19" s="864">
        <f t="shared" si="12"/>
        <v>0</v>
      </c>
      <c r="K19" s="864">
        <f t="shared" si="12"/>
        <v>0</v>
      </c>
      <c r="L19" s="864">
        <f t="shared" si="12"/>
        <v>144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2873</v>
      </c>
      <c r="X19" s="864">
        <f t="shared" si="13"/>
        <v>108</v>
      </c>
      <c r="Y19" s="865">
        <f t="shared" si="13"/>
        <v>2873</v>
      </c>
      <c r="Z19" s="865">
        <f t="shared" si="13"/>
        <v>0</v>
      </c>
      <c r="AA19" s="865">
        <f t="shared" si="13"/>
        <v>2108</v>
      </c>
      <c r="AB19" s="865">
        <f t="shared" si="13"/>
        <v>326</v>
      </c>
      <c r="AC19" s="865">
        <f t="shared" si="13"/>
        <v>2434</v>
      </c>
      <c r="AD19" s="865">
        <f t="shared" si="13"/>
        <v>0</v>
      </c>
      <c r="AE19" s="869">
        <f t="shared" si="13"/>
        <v>0</v>
      </c>
      <c r="AF19" s="862">
        <f t="shared" si="13"/>
        <v>0</v>
      </c>
      <c r="AG19" s="870">
        <f t="shared" si="13"/>
        <v>0</v>
      </c>
      <c r="AH19" s="867">
        <f t="shared" si="13"/>
        <v>0</v>
      </c>
      <c r="AI19" s="862">
        <f t="shared" si="13"/>
        <v>367</v>
      </c>
      <c r="AJ19" s="864">
        <f t="shared" si="13"/>
        <v>0</v>
      </c>
      <c r="AK19" s="867">
        <f t="shared" si="13"/>
        <v>0</v>
      </c>
      <c r="AL19" s="871">
        <f>IF(ISNUMBER(NºAsuntos!G19/NºAsuntos!E19),NºAsuntos!G19/NºAsuntos!E19," - ")</f>
        <v>1.0496894409937889</v>
      </c>
      <c r="AM19" s="871">
        <f>IF(ISNUMBER(((NºAsuntos!I19/NºAsuntos!G19)*11)/factor_trimestre),((NºAsuntos!I19/NºAsuntos!G19)*11)/factor_trimestre," - ")</f>
        <v>2.2011834319526629</v>
      </c>
      <c r="AN19" s="872">
        <f>IF(ISNUMBER('Resol  Asuntos'!D19/NºAsuntos!G19),'Resol  Asuntos'!D19/NºAsuntos!G19," - ")</f>
        <v>0.12774103724329969</v>
      </c>
      <c r="AO19" s="873">
        <f>IF(ISNUMBER((NºAsuntos!C19+NºAsuntos!E19)/NºAsuntos!G19),(NºAsuntos!C19+NºAsuntos!E19)/NºAsuntos!G19," - ")</f>
        <v>1.6049425687434737</v>
      </c>
      <c r="AP19" s="874" t="str">
        <f t="shared" si="2"/>
        <v xml:space="preserve"> - </v>
      </c>
      <c r="AQ19" s="874">
        <f>IF(ISNUMBER((H19-W19+K19)/(F19)),(H19-W19+K19)/(F19)," - ")</f>
        <v>-1.4733333333333334</v>
      </c>
      <c r="AR19" s="875">
        <f>IF(ISNUMBER((Datos!P19-Datos!Q19)/(Datos!R19-Datos!P19+Datos!Q19)),(Datos!P19-Datos!Q19)/(Datos!R19-Datos!P19+Datos!Q19)," - ")</f>
        <v>0.12413793103448276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2065</v>
      </c>
      <c r="G20" s="818">
        <f t="shared" si="15"/>
        <v>1985</v>
      </c>
      <c r="H20" s="817">
        <f t="shared" si="15"/>
        <v>0</v>
      </c>
      <c r="I20" s="819">
        <f t="shared" si="15"/>
        <v>0</v>
      </c>
      <c r="J20" s="819">
        <f t="shared" si="15"/>
        <v>0</v>
      </c>
      <c r="K20" s="878">
        <f t="shared" si="15"/>
        <v>0</v>
      </c>
      <c r="L20" s="819">
        <f t="shared" si="15"/>
        <v>701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2904</v>
      </c>
      <c r="X20" s="818">
        <f t="shared" si="16"/>
        <v>635</v>
      </c>
      <c r="Y20" s="825">
        <f t="shared" si="16"/>
        <v>3431</v>
      </c>
      <c r="Z20" s="825">
        <f t="shared" si="16"/>
        <v>0</v>
      </c>
      <c r="AA20" s="825">
        <f t="shared" si="16"/>
        <v>2227</v>
      </c>
      <c r="AB20" s="825">
        <f t="shared" si="16"/>
        <v>11071</v>
      </c>
      <c r="AC20" s="825">
        <f t="shared" si="16"/>
        <v>2624</v>
      </c>
      <c r="AD20" s="825">
        <f t="shared" si="16"/>
        <v>0</v>
      </c>
      <c r="AE20" s="827">
        <f t="shared" si="16"/>
        <v>0</v>
      </c>
      <c r="AF20" s="828">
        <f t="shared" si="16"/>
        <v>0</v>
      </c>
      <c r="AG20" s="829">
        <f t="shared" si="16"/>
        <v>0</v>
      </c>
      <c r="AH20" s="827">
        <f t="shared" si="16"/>
        <v>0</v>
      </c>
      <c r="AI20" s="817">
        <f t="shared" si="16"/>
        <v>1159</v>
      </c>
      <c r="AJ20" s="817">
        <f t="shared" si="16"/>
        <v>0</v>
      </c>
      <c r="AK20" s="827">
        <f t="shared" si="16"/>
        <v>0</v>
      </c>
      <c r="AL20" s="881">
        <f>IF(ISNUMBER(NºAsuntos!G20/NºAsuntos!E20),NºAsuntos!G20/NºAsuntos!E20," - ")</f>
        <v>0.87337564218797215</v>
      </c>
      <c r="AM20" s="882">
        <f>IF(ISNUMBER(((NºAsuntos!I20/NºAsuntos!G20)*11)/factor_trimestre),((NºAsuntos!I20/NºAsuntos!G20)*11)/factor_trimestre," - ")</f>
        <v>7.0313148788927338</v>
      </c>
      <c r="AN20" s="882">
        <f>IF(ISNUMBER('Resol  Asuntos'!D20/NºAsuntos!G20),'Resol  Asuntos'!D20/NºAsuntos!G20," - ")</f>
        <v>0.2005190311418685</v>
      </c>
      <c r="AO20" s="883">
        <f>IF(ISNUMBER((NºAsuntos!C20+NºAsuntos!E20)/NºAsuntos!G20),(NºAsuntos!C20+NºAsuntos!E20)/NºAsuntos!G20," - ")</f>
        <v>3.3058823529411763</v>
      </c>
      <c r="AP20" s="884" t="str">
        <f t="shared" si="2"/>
        <v xml:space="preserve"> - </v>
      </c>
      <c r="AQ20" s="885">
        <f>IF(OR(ISNUMBER(FIND("01",Criterios!A8,1)),ISNUMBER(FIND("02",Criterios!A8,1)),ISNUMBER(FIND("03",Criterios!A8,1)),ISNUMBER(FIND("04",Criterios!A8,1))),(I20-W20+K20)/(F20-K20),(H20-W20+K20)/(F20-K20))</f>
        <v>-1.4062953995157386</v>
      </c>
      <c r="AR20" s="886">
        <f>IF(ISNUMBER((Datos!P20-Datos!Q20)/(Datos!R20-Datos!P20+Datos!Q20)),(Datos!P20-Datos!Q20)/(Datos!R20-Datos!P20+Datos!Q20)," - ")</f>
        <v>5.9972739663789187E-3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661.66666666666663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2.7968235951204043</v>
      </c>
      <c r="F22" s="251">
        <f>IF(ISNUMBER(STDEV(F8:F19)),STDEV(F8:F19),"-")</f>
        <v>1026.6659632032222</v>
      </c>
      <c r="G22" s="252">
        <f>IF(ISNUMBER(STDEV(G8:G19)),STDEV(G8:G19),"-")</f>
        <v>838.35020526428377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1376.4513794537022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353.07290492258988</v>
      </c>
      <c r="AJ22" s="251">
        <f t="shared" si="20"/>
        <v>0</v>
      </c>
      <c r="AK22" s="253">
        <f t="shared" si="20"/>
        <v>0</v>
      </c>
      <c r="AL22" s="248">
        <f t="shared" si="20"/>
        <v>0.13874016057235247</v>
      </c>
      <c r="AM22" s="249">
        <f t="shared" si="20"/>
        <v>5.0253134000213837</v>
      </c>
      <c r="AN22" s="249">
        <f t="shared" si="20"/>
        <v>0.10107741969559585</v>
      </c>
      <c r="AO22" s="250">
        <f t="shared" si="20"/>
        <v>1.7335001461362527</v>
      </c>
      <c r="AP22" s="290" t="str">
        <f t="shared" si="20"/>
        <v>-</v>
      </c>
      <c r="AQ22" s="291">
        <f t="shared" si="20"/>
        <v>0.85119259775876277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6l6yS0yNWxPGiAQU4/vdMQg4Gkoibh6zpzuDUjU7jH8JQRyFPQvYRHHbeED95DgzizUls+34/d1qKX+OLaoqg==" saltValue="1j0evXsEPIzj/fl4oXPu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TORREJON DE ARDOZ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0.2119815668202765</v>
      </c>
      <c r="I9" s="349">
        <f>IF(ISNUMBER((Tasas!C9-Datos!BE9)/Datos!BE9),(Tasas!C9-Datos!BE9)/Datos!BE9," - ")</f>
        <v>0.35788797300292857</v>
      </c>
      <c r="J9" s="348">
        <f>IF(ISNUMBER((Tasas!D9-Datos!BF9)/Datos!BF9),(Tasas!D9-Datos!BF9)/Datos!BF9," - ")</f>
        <v>-0.55673671875855579</v>
      </c>
      <c r="K9" s="350">
        <f>IF(ISNUMBER((Tasas!E9-Datos!BG9)/Datos!BG9),(Tasas!E9-Datos!BG9)/Datos!BG9," - ")</f>
        <v>0.27991359527121001</v>
      </c>
      <c r="M9" t="e">
        <f>IF(Monitorios="SI",Datos!CE9,0)</f>
        <v>#REF!</v>
      </c>
      <c r="N9" t="e">
        <f>IF(Monitorios="SI",Datos!CF9,0)</f>
        <v>#REF!</v>
      </c>
      <c r="O9" t="e">
        <f>IF(Monitorios="SI",Datos!CG9,0)</f>
        <v>#REF!</v>
      </c>
      <c r="P9" t="e">
        <f>IF(Monitorios="SI",Datos!CH9,0)</f>
        <v>#REF!</v>
      </c>
      <c r="Q9">
        <f>IF(J_V="SI",0,Datos!AG9)</f>
        <v>186</v>
      </c>
      <c r="R9">
        <f>IF(J_V="SI",0,Datos!AH9)</f>
        <v>267</v>
      </c>
      <c r="S9">
        <f>IF(J_V="SI",0,Datos!AI9)</f>
        <v>265</v>
      </c>
      <c r="T9">
        <f>IF(J_V="SI",0,Datos!AJ9)</f>
        <v>188</v>
      </c>
    </row>
    <row r="10" spans="2:20" ht="14.25">
      <c r="B10" s="274" t="s">
        <v>247</v>
      </c>
      <c r="C10" s="7" t="str">
        <f>Datos!A10</f>
        <v>Sección De Violencia sobre la Mujer del TI</v>
      </c>
      <c r="D10" s="351">
        <f>IF(ISNUMBER((Datos!I10-Datos!S10)/Datos!S10),(Datos!I10-Datos!S10)/Datos!S10," - ")</f>
        <v>-0.15267175572519084</v>
      </c>
      <c r="E10" s="347">
        <f>IF(ISNUMBER((Datos!J10-Datos!T10)/Datos!T10),(Datos!J10-Datos!T10)/Datos!T10," - ")</f>
        <v>0.20689655172413793</v>
      </c>
      <c r="F10" s="347">
        <f>IF(ISNUMBER((Datos!K10-Datos!U10)/Datos!U10),(Datos!K10-Datos!U10)/Datos!U10," - ")</f>
        <v>-0.29545454545454547</v>
      </c>
      <c r="G10" s="348">
        <f>IF(ISNUMBER((Datos!L10-Datos!V10)/Datos!V10),(Datos!L10-Datos!V10)/Datos!V10," - ")</f>
        <v>8.4745762711864406E-3</v>
      </c>
      <c r="H10" s="229">
        <f>IF(ISNUMBER((Datos!M10-Datos!W10)/Datos!W10),(Datos!M10-Datos!W10)/Datos!W10," - ")</f>
        <v>-0.88888888888888884</v>
      </c>
      <c r="I10" s="349">
        <f>IF(ISNUMBER((Tasas!C10-Datos!BE10)/Datos!BE10),(Tasas!C10-Datos!BE10)/Datos!BE10," - ")</f>
        <v>0.43138326954620027</v>
      </c>
      <c r="J10" s="348">
        <f>IF(ISNUMBER((Tasas!D10-Datos!BF10)/Datos!BF10),(Tasas!D10-Datos!BF10)/Datos!BF10," - ")</f>
        <v>-0.8422939068100358</v>
      </c>
      <c r="K10" s="350">
        <f>IF(ISNUMBER((Tasas!E10-Datos!BG10)/Datos!BG10),(Tasas!E10-Datos!BG10)/Datos!BG10," - ")</f>
        <v>0.29516129032258076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0.16814159292035399</v>
      </c>
      <c r="I13" s="356">
        <f>IF(ISNUMBER((Tasas!C13-Datos!BE13)/Datos!BE13),(Tasas!C13-Datos!BE13)/Datos!BE13," - ")</f>
        <v>0.35860793985963746</v>
      </c>
      <c r="J13" s="354">
        <f>IF(ISNUMBER((Tasas!D13-Datos!BF13)/Datos!BF13),(Tasas!D13-Datos!BF13)/Datos!BF13," - ")</f>
        <v>-0.55975642261087077</v>
      </c>
      <c r="K13" s="357">
        <f>IF(ISNUMBER((Tasas!E13-Datos!BG13)/Datos!BG13),(Tasas!E13-Datos!BG13)/Datos!BG13," - ")</f>
        <v>0.28006050605060506</v>
      </c>
      <c r="M13" t="e">
        <f>IF(Monitorios="SI",Datos!CE13,0)</f>
        <v>#REF!</v>
      </c>
      <c r="N13" t="e">
        <f>IF(Monitorios="SI",Datos!CF13,0)</f>
        <v>#REF!</v>
      </c>
      <c r="O13" t="e">
        <f>IF(Monitorios="SI",Datos!CG13,0)</f>
        <v>#REF!</v>
      </c>
      <c r="P13" t="e">
        <f>IF(Monitorios="SI",Datos!CH13,0)</f>
        <v>#REF!</v>
      </c>
      <c r="Q13">
        <f>IF(J_V="SI",0,Datos!AG13)</f>
        <v>186</v>
      </c>
      <c r="R13">
        <f>IF(J_V="SI",0,Datos!AH13)</f>
        <v>267</v>
      </c>
      <c r="S13">
        <f>IF(J_V="SI",0,Datos!AI13)</f>
        <v>265</v>
      </c>
      <c r="T13">
        <f>IF(J_V="SI",0,Datos!AJ13)</f>
        <v>188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8.6867305061559513E-2</v>
      </c>
      <c r="E15" s="347">
        <f>IF(ISNUMBER(
   IF(D_I="SI",(Datos!J15-Datos!T15)/Datos!T15,(Datos!J15+Datos!AD15-(Datos!T15+Datos!AL15))/(Datos!T15+Datos!AL15))
     ),IF(D_I="SI",(Datos!J15-Datos!T15)/Datos!T15,(Datos!J15+Datos!AD15-(Datos!T15+Datos!AL15))/(Datos!T15+Datos!AL15))," - ")</f>
        <v>6.678306416412047E-2</v>
      </c>
      <c r="F15" s="347">
        <f>IF(ISNUMBER(
   IF(D_I="SI",(Datos!K15-Datos!U15)/Datos!U15,(Datos!K15+Datos!AE15-(Datos!U15+Datos!AM15))/(Datos!U15+Datos!AM15))
     ),IF(D_I="SI",(Datos!K15-Datos!U15)/Datos!U15,(Datos!K15+Datos!AE15-(Datos!U15+Datos!AM15))/(Datos!U15+Datos!AM15))," - ")</f>
        <v>8.8284518828451883E-2</v>
      </c>
      <c r="G15" s="348">
        <f>IF(ISNUMBER(
   IF(D_I="SI",(Datos!L15-Datos!V15)/Datos!V15,(Datos!L15+Datos!AF15-(Datos!V15+Datos!AN15))/(Datos!V15+Datos!AN15))
     ),IF(D_I="SI",(Datos!L15-Datos!V15)/Datos!V15,(Datos!L15+Datos!AF15-(Datos!V15+Datos!AN15))/(Datos!V15+Datos!AN15))," - ")</f>
        <v>0.19546364242828551</v>
      </c>
      <c r="H15" s="229">
        <f>IF(ISNUMBER((Datos!M15-Datos!W15)/Datos!W15),(Datos!M15-Datos!W15)/Datos!W15," - ")</f>
        <v>2.7700831024930748E-3</v>
      </c>
      <c r="I15" s="349">
        <f>IF(ISNUMBER((Tasas!C15-Datos!BE15)/Datos!BE15),(Tasas!C15-Datos!BE15)/Datos!BE15," - ")</f>
        <v>9.8484469590004758E-2</v>
      </c>
      <c r="J15" s="348">
        <f>IF(ISNUMBER((Tasas!D15-Datos!BF15)/Datos!BF15),(Tasas!D15-Datos!BF15)/Datos!BF15," - ")</f>
        <v>-7.8577278502515127E-2</v>
      </c>
      <c r="K15" s="350">
        <f>IF(ISNUMBER((Tasas!E15-Datos!BG15)/Datos!BG15),(Tasas!E15-Datos!BG15)/Datos!BG15," - ")</f>
        <v>-1.2567979705688292E-2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-0.625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-0.8</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0.63005780346820806</v>
      </c>
      <c r="E18" s="347">
        <f>IF(ISNUMBER(
   IF(D_I="SI",(Datos!J18-Datos!T18)/Datos!T18,(Datos!J18+Datos!AD18-(Datos!T18+Datos!AL18))/(Datos!T18+Datos!AL18))
     ),IF(D_I="SI",(Datos!J18-Datos!T18)/Datos!T18,(Datos!J18+Datos!AD18-(Datos!T18+Datos!AL18))/(Datos!T18+Datos!AL18))," - ")</f>
        <v>0.15354330708661418</v>
      </c>
      <c r="F18" s="347">
        <f>IF(ISNUMBER(
   IF(D_I="SI",(Datos!K18-Datos!U18)/Datos!U18,(Datos!K18+Datos!AE18-(Datos!U18+Datos!AM18))/(Datos!U18+Datos!AM18))
     ),IF(D_I="SI",(Datos!K18-Datos!U18)/Datos!U18,(Datos!K18+Datos!AE18-(Datos!U18+Datos!AM18))/(Datos!U18+Datos!AM18))," - ")</f>
        <v>-0.14465408805031446</v>
      </c>
      <c r="G18" s="348">
        <f>IF(ISNUMBER(
   IF(D_I="SI",(Datos!L18-Datos!V18)/Datos!V18,(Datos!L18+Datos!AF18-(Datos!V18+Datos!AN18))/(Datos!V18+Datos!AN18))
     ),IF(D_I="SI",(Datos!L18-Datos!V18)/Datos!V18,(Datos!L18+Datos!AF18-(Datos!V18+Datos!AN18))/(Datos!V18+Datos!AN18))," - ")</f>
        <v>1.7876106194690264</v>
      </c>
      <c r="H18" s="229">
        <f>IF(ISNUMBER((Datos!M18-Datos!W18)/Datos!W18),(Datos!M18-Datos!W18)/Datos!W18," - ")</f>
        <v>-0.5</v>
      </c>
      <c r="I18" s="349">
        <f>IF(ISNUMBER((Tasas!C18-Datos!BE18)/Datos!BE18),(Tasas!C18-Datos!BE18)/Datos!BE18," - ")</f>
        <v>2.2590447683498183</v>
      </c>
      <c r="J18" s="348">
        <f>IF(ISNUMBER((Tasas!D18-Datos!BF18)/Datos!BF18),(Tasas!D18-Datos!BF18)/Datos!BF18," - ")</f>
        <v>-0.4154411764705882</v>
      </c>
      <c r="K18" s="350">
        <f>IF(ISNUMBER((Tasas!E18-Datos!BG18)/Datos!BG18),(Tasas!E18-Datos!BG18)/Datos!BG18," - ")</f>
        <v>0.57433875189420014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0.14059646987218502</v>
      </c>
      <c r="E19" s="353">
        <f>IF(ISNUMBER(
   IF(D_I="SI",(Datos!J19-Datos!T19)/Datos!T19,(Datos!J19+Datos!AD19-(Datos!T19+Datos!AL19))/(Datos!T19+Datos!AL19))
     ),IF(D_I="SI",(Datos!J19-Datos!T19)/Datos!T19,(Datos!J19+Datos!AD19-(Datos!T19+Datos!AL19))/(Datos!T19+Datos!AL19))," - ")</f>
        <v>7.5442043222003929E-2</v>
      </c>
      <c r="F19" s="353">
        <f>IF(ISNUMBER(
   IF(D_I="SI",(Datos!K19-Datos!U19)/Datos!U19,(Datos!K19+Datos!AE19-(Datos!U19+Datos!AM19))/(Datos!U19+Datos!AM19))
     ),IF(D_I="SI",(Datos!K19-Datos!U19)/Datos!U19,(Datos!K19+Datos!AE19-(Datos!U19+Datos!AM19))/(Datos!U19+Datos!AM19))," - ")</f>
        <v>5.9756547399483585E-2</v>
      </c>
      <c r="G19" s="354">
        <f>IF(ISNUMBER(
   IF(D_I="SI",(Datos!L19-Datos!V19)/Datos!V19,(Datos!L19+Datos!AF19-(Datos!V19+Datos!AN19))/(Datos!V19+Datos!AN19))
     ),IF(D_I="SI",(Datos!L19-Datos!V19)/Datos!V19,(Datos!L19+Datos!AF19-(Datos!V19+Datos!AN19))/(Datos!V19+Datos!AN19))," - ")</f>
        <v>0.30364873222016081</v>
      </c>
      <c r="H19" s="355">
        <f>IF(ISNUMBER((Datos!M19-Datos!W19)/Datos!W19),(Datos!M19-Datos!W19)/Datos!W19," - ")</f>
        <v>-1.078167115902965E-2</v>
      </c>
      <c r="I19" s="356">
        <f>IF(ISNUMBER((Tasas!C19-Datos!BE19)/Datos!BE19),(Tasas!C19-Datos!BE19)/Datos!BE19," - ")</f>
        <v>0.23013982354641688</v>
      </c>
      <c r="J19" s="354">
        <f>IF(ISNUMBER((Tasas!D19-Datos!BF19)/Datos!BF19),(Tasas!D19-Datos!BF19)/Datos!BF19," - ")</f>
        <v>-6.6560776370389554E-2</v>
      </c>
      <c r="K19" s="357">
        <f>IF(ISNUMBER((Tasas!E19-Datos!BG19)/Datos!BG19),(Tasas!E19-Datos!BG19)/Datos!BG19," - ")</f>
        <v>3.8920559661785446E-2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1.4045627993829666E-2</v>
      </c>
      <c r="E20" s="362">
        <f>IF(ISNUMBER(
   IF(J_V="SI",(Datos!J20-Datos!T20)/Datos!T20,(Datos!J20+Datos!Z20-(Datos!T20+Datos!AH20))/(Datos!T20+Datos!AH20))
     ),IF(J_V="SI",(Datos!J20-Datos!T20)/Datos!T20,(Datos!J20+Datos!Z20-(Datos!T20+Datos!AH20))/(Datos!T20+Datos!AH20))," - ")</f>
        <v>-0.17594322002241314</v>
      </c>
      <c r="F20" s="362">
        <f>IF(ISNUMBER(
   IF(J_V="SI",(Datos!K20-Datos!U20)/Datos!U20,(Datos!K20+Datos!AA20-(Datos!U20+Datos!AI20))/(Datos!U20+Datos!AI20))
     ),IF(J_V="SI",(Datos!K20-Datos!U20)/Datos!U20,(Datos!K20+Datos!AA20-(Datos!U20+Datos!AI20))/(Datos!U20+Datos!AI20))," - ")</f>
        <v>-0.15731156145210673</v>
      </c>
      <c r="G20" s="363">
        <f>IF(ISNUMBER(
   IF(J_V="SI",(Datos!L20-Datos!V20)/Datos!V20,(Datos!L20+Datos!AB20-(Datos!V20+Datos!AJ20))/(Datos!V20+Datos!AJ20))
     ),IF(J_V="SI",(Datos!L20-Datos!V20)/Datos!V20,(Datos!L20+Datos!AB20-(Datos!V20+Datos!AJ20))/(Datos!V20+Datos!AJ20))," - ")</f>
        <v>-6.16242388672878E-3</v>
      </c>
      <c r="H20" s="364">
        <f>IF(ISNUMBER((Datos!M20-Datos!W20)/Datos!W20),(Datos!M20-Datos!W20)/Datos!W20," - ")</f>
        <v>0.10486177311725453</v>
      </c>
      <c r="I20" s="361">
        <f>IF(ISNUMBER((Tasas!C20-Datos!BE20)/Datos!BE20),(Tasas!C20-Datos!BE20)/Datos!BE20," - ")</f>
        <v>0.17936538660223661</v>
      </c>
      <c r="J20" s="362">
        <f>IF(ISNUMBER((Tasas!D20-Datos!BF20)/Datos!BF20),(Tasas!D20-Datos!BF20)/Datos!BF20," - ")</f>
        <v>-0.53187201000610074</v>
      </c>
      <c r="K20" s="363">
        <f>IF(ISNUMBER((Tasas!E20-Datos!BG20)/Datos!BG20),(Tasas!E20-Datos!BG20)/Datos!BG20," - ")</f>
        <v>0.11436244637426424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0.45742338098862845</v>
      </c>
      <c r="E22" s="277">
        <f t="shared" si="1"/>
        <v>6.6746267687579769E-2</v>
      </c>
      <c r="F22" s="277">
        <f t="shared" si="1"/>
        <v>0.44319732489025598</v>
      </c>
      <c r="G22" s="278">
        <f t="shared" si="1"/>
        <v>0.93793776159087805</v>
      </c>
      <c r="H22" s="284">
        <f t="shared" si="1"/>
        <v>0.43385461521755025</v>
      </c>
      <c r="I22" s="276">
        <f t="shared" si="1"/>
        <v>0.81030878827660036</v>
      </c>
      <c r="J22" s="277">
        <f t="shared" si="1"/>
        <v>0.30267818128822704</v>
      </c>
      <c r="K22" s="278">
        <f t="shared" si="1"/>
        <v>0.21081028740108537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couQ3CeY3ooyVpIaEjWiX1PciQOCdhZ4XtX/1L/Gw3CPsiwJiYCAhF+WW96H1AwE9hNZOLrYR0y9E4JCcm0AA==" saltValue="xsqSDdXv8JRIWfNuRbM6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